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JBW-MSI\Desktop\MVA - Robin\"/>
    </mc:Choice>
  </mc:AlternateContent>
  <xr:revisionPtr revIDLastSave="0" documentId="13_ncr:1_{7AE48D01-E46B-4E92-AF5B-F363935152C6}" xr6:coauthVersionLast="47" xr6:coauthVersionMax="47" xr10:uidLastSave="{00000000-0000-0000-0000-000000000000}"/>
  <bookViews>
    <workbookView xWindow="28680" yWindow="-120" windowWidth="29040" windowHeight="15840" firstSheet="1" activeTab="1" xr2:uid="{00000000-000D-0000-FFFF-FFFF00000000}"/>
  </bookViews>
  <sheets>
    <sheet name="Statement of Activity" sheetId="1" state="hidden" r:id="rId1"/>
    <sheet name="SOA" sheetId="2" r:id="rId2"/>
    <sheet name="SOA Graph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8" i="2" l="1"/>
  <c r="S157" i="2"/>
  <c r="S156" i="2"/>
  <c r="S155" i="2"/>
  <c r="S154" i="2"/>
  <c r="S153" i="2"/>
  <c r="S152" i="2"/>
  <c r="S151" i="2"/>
  <c r="S150" i="2"/>
  <c r="S149" i="2"/>
  <c r="S148" i="2"/>
  <c r="S147" i="2"/>
  <c r="S146" i="2"/>
  <c r="S145" i="2"/>
  <c r="S144" i="2"/>
  <c r="S143" i="2"/>
  <c r="S142" i="2"/>
  <c r="S141" i="2"/>
  <c r="S140" i="2"/>
  <c r="S139" i="2"/>
  <c r="S138" i="2"/>
  <c r="S137" i="2"/>
  <c r="S136" i="2"/>
  <c r="S135" i="2"/>
  <c r="S134" i="2"/>
  <c r="S133" i="2"/>
  <c r="S132" i="2"/>
  <c r="S131" i="2"/>
  <c r="S130" i="2"/>
  <c r="S129" i="2"/>
  <c r="S128" i="2"/>
  <c r="S127" i="2"/>
  <c r="S126" i="2"/>
  <c r="S125" i="2"/>
  <c r="S124" i="2"/>
  <c r="S123" i="2"/>
  <c r="S122" i="2"/>
  <c r="S121" i="2"/>
  <c r="S120" i="2"/>
  <c r="S119" i="2"/>
  <c r="S118" i="2"/>
  <c r="S117" i="2"/>
  <c r="S116" i="2"/>
  <c r="S115" i="2"/>
  <c r="S114" i="2"/>
  <c r="S113" i="2"/>
  <c r="S112" i="2"/>
  <c r="S111" i="2"/>
  <c r="S110" i="2"/>
  <c r="S109" i="2"/>
  <c r="S108" i="2"/>
  <c r="S107" i="2"/>
  <c r="S106" i="2"/>
  <c r="S105" i="2"/>
  <c r="S104" i="2"/>
  <c r="S103" i="2"/>
  <c r="S102" i="2"/>
  <c r="S101" i="2"/>
  <c r="S100" i="2"/>
  <c r="S99" i="2"/>
  <c r="S98" i="2"/>
  <c r="S97" i="2"/>
  <c r="S96" i="2"/>
  <c r="S95" i="2"/>
  <c r="S94" i="2"/>
  <c r="S93" i="2"/>
  <c r="S92" i="2"/>
  <c r="S91" i="2"/>
  <c r="S90" i="2"/>
  <c r="S89" i="2"/>
  <c r="S88" i="2"/>
  <c r="S87" i="2"/>
  <c r="S86" i="2"/>
  <c r="S85" i="2"/>
  <c r="S84" i="2"/>
  <c r="S83" i="2"/>
  <c r="S82" i="2"/>
  <c r="S81" i="2"/>
  <c r="S80" i="2"/>
  <c r="S79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5" i="2"/>
  <c r="S64" i="2"/>
  <c r="S63" i="2"/>
  <c r="S62" i="2"/>
  <c r="S60" i="2"/>
  <c r="S59" i="2"/>
  <c r="S58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D156" i="4"/>
  <c r="D155" i="4"/>
  <c r="F155" i="4" s="1"/>
  <c r="K154" i="4"/>
  <c r="F154" i="4"/>
  <c r="C154" i="4"/>
  <c r="B154" i="4"/>
  <c r="K153" i="4"/>
  <c r="F153" i="4"/>
  <c r="C153" i="4"/>
  <c r="K152" i="4"/>
  <c r="K155" i="4" s="1"/>
  <c r="H152" i="4"/>
  <c r="F152" i="4"/>
  <c r="E152" i="4"/>
  <c r="K149" i="4"/>
  <c r="F149" i="4"/>
  <c r="B149" i="4"/>
  <c r="K148" i="4"/>
  <c r="F148" i="4"/>
  <c r="C148" i="4"/>
  <c r="B148" i="4"/>
  <c r="E148" i="4" s="1"/>
  <c r="G148" i="4" s="1"/>
  <c r="D147" i="4"/>
  <c r="C147" i="4"/>
  <c r="B147" i="4"/>
  <c r="E147" i="4" s="1"/>
  <c r="G147" i="4" s="1"/>
  <c r="D146" i="4"/>
  <c r="F146" i="4" s="1"/>
  <c r="C146" i="4"/>
  <c r="E146" i="4" s="1"/>
  <c r="D145" i="4"/>
  <c r="C145" i="4"/>
  <c r="B145" i="4"/>
  <c r="G144" i="4"/>
  <c r="D144" i="4"/>
  <c r="F144" i="4" s="1"/>
  <c r="C144" i="4"/>
  <c r="L143" i="4"/>
  <c r="D143" i="4"/>
  <c r="F143" i="4" s="1"/>
  <c r="B143" i="4"/>
  <c r="K142" i="4"/>
  <c r="F142" i="4"/>
  <c r="C142" i="4"/>
  <c r="K141" i="4"/>
  <c r="K143" i="4" s="1"/>
  <c r="F141" i="4"/>
  <c r="C141" i="4"/>
  <c r="D140" i="4"/>
  <c r="C140" i="4"/>
  <c r="B140" i="4"/>
  <c r="E140" i="4" s="1"/>
  <c r="G140" i="4" s="1"/>
  <c r="L139" i="4"/>
  <c r="D139" i="4"/>
  <c r="C139" i="4"/>
  <c r="B139" i="4"/>
  <c r="E139" i="4" s="1"/>
  <c r="G139" i="4" s="1"/>
  <c r="L138" i="4"/>
  <c r="K138" i="4"/>
  <c r="F138" i="4"/>
  <c r="C138" i="4"/>
  <c r="B138" i="4"/>
  <c r="E138" i="4" s="1"/>
  <c r="G138" i="4" s="1"/>
  <c r="L137" i="4"/>
  <c r="D137" i="4"/>
  <c r="C137" i="4"/>
  <c r="B137" i="4"/>
  <c r="K136" i="4"/>
  <c r="H136" i="4"/>
  <c r="F136" i="4"/>
  <c r="E136" i="4"/>
  <c r="G135" i="4"/>
  <c r="D135" i="4"/>
  <c r="F135" i="4" s="1"/>
  <c r="C135" i="4"/>
  <c r="B135" i="4"/>
  <c r="D134" i="4"/>
  <c r="C134" i="4"/>
  <c r="B134" i="4"/>
  <c r="D133" i="4"/>
  <c r="C133" i="4"/>
  <c r="G131" i="4"/>
  <c r="D131" i="4"/>
  <c r="C131" i="4"/>
  <c r="C132" i="4" s="1"/>
  <c r="B131" i="4"/>
  <c r="L130" i="4"/>
  <c r="L132" i="4" s="1"/>
  <c r="K130" i="4"/>
  <c r="K132" i="4" s="1"/>
  <c r="G130" i="4"/>
  <c r="G132" i="4" s="1"/>
  <c r="F130" i="4"/>
  <c r="B130" i="4"/>
  <c r="K128" i="4"/>
  <c r="H128" i="4"/>
  <c r="F128" i="4"/>
  <c r="E128" i="4"/>
  <c r="D127" i="4"/>
  <c r="C127" i="4"/>
  <c r="B127" i="4"/>
  <c r="K126" i="4"/>
  <c r="F126" i="4"/>
  <c r="C126" i="4"/>
  <c r="B126" i="4"/>
  <c r="K125" i="4"/>
  <c r="F125" i="4"/>
  <c r="C125" i="4"/>
  <c r="C129" i="4" s="1"/>
  <c r="B125" i="4"/>
  <c r="K124" i="4"/>
  <c r="J124" i="4"/>
  <c r="I124" i="4"/>
  <c r="F124" i="4"/>
  <c r="C124" i="4"/>
  <c r="B124" i="4"/>
  <c r="K123" i="4"/>
  <c r="F123" i="4"/>
  <c r="C123" i="4"/>
  <c r="B123" i="4"/>
  <c r="K122" i="4"/>
  <c r="F122" i="4"/>
  <c r="C122" i="4"/>
  <c r="B122" i="4"/>
  <c r="K121" i="4"/>
  <c r="F121" i="4"/>
  <c r="C121" i="4"/>
  <c r="B121" i="4"/>
  <c r="D120" i="4"/>
  <c r="C120" i="4"/>
  <c r="B120" i="4"/>
  <c r="K118" i="4"/>
  <c r="F118" i="4"/>
  <c r="C118" i="4"/>
  <c r="D117" i="4"/>
  <c r="B117" i="4"/>
  <c r="K116" i="4"/>
  <c r="H116" i="4"/>
  <c r="F116" i="4"/>
  <c r="E116" i="4"/>
  <c r="D114" i="4"/>
  <c r="C114" i="4"/>
  <c r="B114" i="4"/>
  <c r="K113" i="4"/>
  <c r="F113" i="4"/>
  <c r="B113" i="4"/>
  <c r="D112" i="4"/>
  <c r="C112" i="4"/>
  <c r="B112" i="4"/>
  <c r="K111" i="4"/>
  <c r="F111" i="4"/>
  <c r="B111" i="4"/>
  <c r="D110" i="4"/>
  <c r="C110" i="4"/>
  <c r="B110" i="4"/>
  <c r="D109" i="4"/>
  <c r="C109" i="4"/>
  <c r="B109" i="4"/>
  <c r="E109" i="4" s="1"/>
  <c r="G109" i="4" s="1"/>
  <c r="D108" i="4"/>
  <c r="F108" i="4" s="1"/>
  <c r="C108" i="4"/>
  <c r="B108" i="4"/>
  <c r="E108" i="4" s="1"/>
  <c r="D107" i="4"/>
  <c r="C107" i="4"/>
  <c r="B107" i="4"/>
  <c r="K106" i="4"/>
  <c r="F106" i="4"/>
  <c r="C106" i="4"/>
  <c r="C115" i="4" s="1"/>
  <c r="B106" i="4"/>
  <c r="K105" i="4"/>
  <c r="H105" i="4"/>
  <c r="F105" i="4"/>
  <c r="E105" i="4"/>
  <c r="L104" i="4"/>
  <c r="H104" i="4"/>
  <c r="K103" i="4"/>
  <c r="K104" i="4" s="1"/>
  <c r="F103" i="4"/>
  <c r="C103" i="4"/>
  <c r="B103" i="4"/>
  <c r="E103" i="4" s="1"/>
  <c r="G103" i="4" s="1"/>
  <c r="D102" i="4"/>
  <c r="C102" i="4"/>
  <c r="C104" i="4" s="1"/>
  <c r="B102" i="4"/>
  <c r="D100" i="4"/>
  <c r="C100" i="4"/>
  <c r="B100" i="4"/>
  <c r="L99" i="4"/>
  <c r="D99" i="4"/>
  <c r="C99" i="4"/>
  <c r="B99" i="4"/>
  <c r="D98" i="4"/>
  <c r="F98" i="4" s="1"/>
  <c r="C98" i="4"/>
  <c r="E98" i="4" s="1"/>
  <c r="G98" i="4" s="1"/>
  <c r="D97" i="4"/>
  <c r="C97" i="4"/>
  <c r="B97" i="4"/>
  <c r="D96" i="4"/>
  <c r="C96" i="4"/>
  <c r="C101" i="4" s="1"/>
  <c r="B96" i="4"/>
  <c r="D94" i="4"/>
  <c r="C94" i="4"/>
  <c r="B94" i="4"/>
  <c r="D93" i="4"/>
  <c r="C93" i="4"/>
  <c r="E92" i="4"/>
  <c r="G92" i="4" s="1"/>
  <c r="D92" i="4"/>
  <c r="C92" i="4"/>
  <c r="H92" i="4" s="1"/>
  <c r="B92" i="4"/>
  <c r="F91" i="4"/>
  <c r="C91" i="4"/>
  <c r="E91" i="4" s="1"/>
  <c r="D90" i="4"/>
  <c r="F90" i="4" s="1"/>
  <c r="L89" i="4"/>
  <c r="K89" i="4"/>
  <c r="G89" i="4"/>
  <c r="F89" i="4"/>
  <c r="C89" i="4"/>
  <c r="C90" i="4" s="1"/>
  <c r="B89" i="4"/>
  <c r="L88" i="4"/>
  <c r="K88" i="4"/>
  <c r="G88" i="4"/>
  <c r="F88" i="4"/>
  <c r="B88" i="4"/>
  <c r="K87" i="4"/>
  <c r="K90" i="4" s="1"/>
  <c r="H87" i="4"/>
  <c r="F87" i="4"/>
  <c r="E87" i="4"/>
  <c r="D86" i="4"/>
  <c r="L85" i="4"/>
  <c r="K85" i="4"/>
  <c r="G85" i="4"/>
  <c r="F85" i="4"/>
  <c r="B85" i="4"/>
  <c r="H85" i="4" s="1"/>
  <c r="L84" i="4"/>
  <c r="L86" i="4" s="1"/>
  <c r="K84" i="4"/>
  <c r="K86" i="4" s="1"/>
  <c r="C84" i="4"/>
  <c r="C86" i="4" s="1"/>
  <c r="C95" i="4" s="1"/>
  <c r="B84" i="4"/>
  <c r="D83" i="4"/>
  <c r="C83" i="4"/>
  <c r="B83" i="4"/>
  <c r="E83" i="4" s="1"/>
  <c r="G83" i="4" s="1"/>
  <c r="K82" i="4"/>
  <c r="F82" i="4"/>
  <c r="B82" i="4"/>
  <c r="K81" i="4"/>
  <c r="F81" i="4"/>
  <c r="B81" i="4"/>
  <c r="K80" i="4"/>
  <c r="J80" i="4"/>
  <c r="I80" i="4"/>
  <c r="H80" i="4"/>
  <c r="E80" i="4"/>
  <c r="D79" i="4"/>
  <c r="K78" i="4"/>
  <c r="J78" i="4"/>
  <c r="I78" i="4"/>
  <c r="L78" i="4" s="1"/>
  <c r="C78" i="4"/>
  <c r="B78" i="4"/>
  <c r="K77" i="4"/>
  <c r="F77" i="4"/>
  <c r="B77" i="4"/>
  <c r="L76" i="4"/>
  <c r="K75" i="4"/>
  <c r="F75" i="4"/>
  <c r="B75" i="4"/>
  <c r="D74" i="4"/>
  <c r="C74" i="4"/>
  <c r="B74" i="4"/>
  <c r="D73" i="4"/>
  <c r="C73" i="4"/>
  <c r="C76" i="4" s="1"/>
  <c r="B73" i="4"/>
  <c r="K71" i="4"/>
  <c r="F71" i="4"/>
  <c r="C71" i="4"/>
  <c r="D70" i="4"/>
  <c r="F70" i="4" s="1"/>
  <c r="C70" i="4"/>
  <c r="B70" i="4"/>
  <c r="E70" i="4" s="1"/>
  <c r="H69" i="4"/>
  <c r="D69" i="4"/>
  <c r="D68" i="4"/>
  <c r="C68" i="4"/>
  <c r="B68" i="4"/>
  <c r="E68" i="4" s="1"/>
  <c r="G68" i="4" s="1"/>
  <c r="D67" i="4"/>
  <c r="F67" i="4" s="1"/>
  <c r="C67" i="4"/>
  <c r="B67" i="4"/>
  <c r="E67" i="4" s="1"/>
  <c r="K66" i="4"/>
  <c r="F66" i="4"/>
  <c r="C66" i="4"/>
  <c r="B66" i="4"/>
  <c r="E66" i="4" s="1"/>
  <c r="G66" i="4" s="1"/>
  <c r="D65" i="4"/>
  <c r="C65" i="4"/>
  <c r="B65" i="4"/>
  <c r="E65" i="4" s="1"/>
  <c r="G65" i="4" s="1"/>
  <c r="K64" i="4"/>
  <c r="F64" i="4"/>
  <c r="C64" i="4"/>
  <c r="C72" i="4" s="1"/>
  <c r="B64" i="4"/>
  <c r="K63" i="4"/>
  <c r="F63" i="4"/>
  <c r="C63" i="4"/>
  <c r="B63" i="4"/>
  <c r="L62" i="4"/>
  <c r="K62" i="4"/>
  <c r="H62" i="4"/>
  <c r="G62" i="4"/>
  <c r="F62" i="4"/>
  <c r="D59" i="4"/>
  <c r="F59" i="4" s="1"/>
  <c r="C59" i="4"/>
  <c r="B59" i="4"/>
  <c r="E59" i="4" s="1"/>
  <c r="G59" i="4" s="1"/>
  <c r="D58" i="4"/>
  <c r="C58" i="4"/>
  <c r="E58" i="4" s="1"/>
  <c r="G58" i="4" s="1"/>
  <c r="D56" i="4"/>
  <c r="C56" i="4"/>
  <c r="B56" i="4"/>
  <c r="K55" i="4"/>
  <c r="F55" i="4"/>
  <c r="C55" i="4"/>
  <c r="D53" i="4"/>
  <c r="F53" i="4" s="1"/>
  <c r="C53" i="4"/>
  <c r="B53" i="4"/>
  <c r="E53" i="4" s="1"/>
  <c r="G53" i="4" s="1"/>
  <c r="K52" i="4"/>
  <c r="H52" i="4"/>
  <c r="F52" i="4"/>
  <c r="E52" i="4"/>
  <c r="K51" i="4"/>
  <c r="F51" i="4"/>
  <c r="B51" i="4"/>
  <c r="D50" i="4"/>
  <c r="C50" i="4"/>
  <c r="B50" i="4"/>
  <c r="D49" i="4"/>
  <c r="C49" i="4"/>
  <c r="B49" i="4"/>
  <c r="K48" i="4"/>
  <c r="F48" i="4"/>
  <c r="C48" i="4"/>
  <c r="B48" i="4"/>
  <c r="K47" i="4"/>
  <c r="F47" i="4"/>
  <c r="C47" i="4"/>
  <c r="D45" i="4"/>
  <c r="C45" i="4"/>
  <c r="C46" i="4" s="1"/>
  <c r="B45" i="4"/>
  <c r="K44" i="4"/>
  <c r="H44" i="4"/>
  <c r="F44" i="4"/>
  <c r="E44" i="4"/>
  <c r="L42" i="4"/>
  <c r="C42" i="4"/>
  <c r="C43" i="4" s="1"/>
  <c r="D41" i="4"/>
  <c r="C41" i="4"/>
  <c r="B41" i="4"/>
  <c r="H40" i="4"/>
  <c r="F40" i="4"/>
  <c r="E40" i="4"/>
  <c r="G40" i="4" s="1"/>
  <c r="K39" i="4"/>
  <c r="H39" i="4"/>
  <c r="F39" i="4"/>
  <c r="E39" i="4"/>
  <c r="K37" i="4"/>
  <c r="F37" i="4"/>
  <c r="B37" i="4"/>
  <c r="D36" i="4"/>
  <c r="C36" i="4"/>
  <c r="B36" i="4"/>
  <c r="D35" i="4"/>
  <c r="K34" i="4"/>
  <c r="F34" i="4"/>
  <c r="B34" i="4"/>
  <c r="D33" i="4"/>
  <c r="B33" i="4"/>
  <c r="L32" i="4"/>
  <c r="K32" i="4"/>
  <c r="G32" i="4"/>
  <c r="F32" i="4"/>
  <c r="C32" i="4"/>
  <c r="H32" i="4" s="1"/>
  <c r="L31" i="4"/>
  <c r="K31" i="4"/>
  <c r="G31" i="4"/>
  <c r="F31" i="4"/>
  <c r="C31" i="4"/>
  <c r="C33" i="4" s="1"/>
  <c r="Q30" i="4"/>
  <c r="K30" i="4"/>
  <c r="F30" i="4"/>
  <c r="C30" i="4"/>
  <c r="K29" i="4"/>
  <c r="H29" i="4"/>
  <c r="F29" i="4"/>
  <c r="E29" i="4"/>
  <c r="Q28" i="4"/>
  <c r="K28" i="4"/>
  <c r="F28" i="4"/>
  <c r="C28" i="4"/>
  <c r="B28" i="4"/>
  <c r="K27" i="4"/>
  <c r="F27" i="4"/>
  <c r="C27" i="4"/>
  <c r="L26" i="4"/>
  <c r="K26" i="4"/>
  <c r="G26" i="4"/>
  <c r="F26" i="4"/>
  <c r="B26" i="4"/>
  <c r="H26" i="4" s="1"/>
  <c r="L25" i="4"/>
  <c r="K25" i="4"/>
  <c r="H25" i="4"/>
  <c r="G25" i="4"/>
  <c r="F25" i="4"/>
  <c r="L24" i="4"/>
  <c r="K24" i="4"/>
  <c r="H24" i="4"/>
  <c r="G24" i="4"/>
  <c r="F24" i="4"/>
  <c r="L23" i="4"/>
  <c r="K23" i="4"/>
  <c r="H23" i="4"/>
  <c r="G23" i="4"/>
  <c r="F23" i="4"/>
  <c r="L22" i="4"/>
  <c r="K22" i="4"/>
  <c r="H22" i="4"/>
  <c r="G22" i="4"/>
  <c r="F22" i="4"/>
  <c r="L21" i="4"/>
  <c r="K21" i="4"/>
  <c r="H21" i="4"/>
  <c r="G21" i="4"/>
  <c r="F21" i="4"/>
  <c r="L20" i="4"/>
  <c r="K20" i="4"/>
  <c r="G20" i="4"/>
  <c r="F20" i="4"/>
  <c r="B20" i="4"/>
  <c r="H20" i="4" s="1"/>
  <c r="Q19" i="4"/>
  <c r="N19" i="4"/>
  <c r="D19" i="4"/>
  <c r="C19" i="4"/>
  <c r="B19" i="4"/>
  <c r="Q18" i="4"/>
  <c r="N18" i="4"/>
  <c r="D18" i="4"/>
  <c r="C18" i="4"/>
  <c r="B18" i="4"/>
  <c r="Q17" i="4"/>
  <c r="O17" i="4"/>
  <c r="N17" i="4"/>
  <c r="D17" i="4"/>
  <c r="B17" i="4"/>
  <c r="R16" i="4"/>
  <c r="Q16" i="4"/>
  <c r="N16" i="4"/>
  <c r="D16" i="4"/>
  <c r="C16" i="4"/>
  <c r="B16" i="4"/>
  <c r="Q15" i="4"/>
  <c r="N15" i="4"/>
  <c r="L14" i="4"/>
  <c r="K14" i="4"/>
  <c r="G14" i="4"/>
  <c r="F14" i="4"/>
  <c r="B14" i="4"/>
  <c r="H14" i="4" s="1"/>
  <c r="D13" i="4"/>
  <c r="C13" i="4"/>
  <c r="B13" i="4"/>
  <c r="D12" i="4"/>
  <c r="C12" i="4"/>
  <c r="B12" i="4"/>
  <c r="K11" i="4"/>
  <c r="F11" i="4"/>
  <c r="C11" i="4"/>
  <c r="K10" i="4"/>
  <c r="H10" i="4"/>
  <c r="F10" i="4"/>
  <c r="E10" i="4"/>
  <c r="L9" i="4"/>
  <c r="G9" i="4"/>
  <c r="D9" i="4"/>
  <c r="C9" i="4"/>
  <c r="B8" i="4"/>
  <c r="B9" i="4" s="1"/>
  <c r="E7" i="4"/>
  <c r="H1" i="4"/>
  <c r="Q30" i="2"/>
  <c r="Q28" i="2"/>
  <c r="Q27" i="2"/>
  <c r="Q19" i="2"/>
  <c r="Q18" i="2"/>
  <c r="Q17" i="2"/>
  <c r="Q16" i="2"/>
  <c r="Q15" i="2"/>
  <c r="N27" i="2"/>
  <c r="N19" i="2"/>
  <c r="N18" i="2"/>
  <c r="N17" i="2"/>
  <c r="N16" i="2"/>
  <c r="N15" i="2"/>
  <c r="L138" i="2"/>
  <c r="L84" i="2"/>
  <c r="D74" i="2"/>
  <c r="D12" i="2"/>
  <c r="D35" i="2"/>
  <c r="K35" i="2" s="1"/>
  <c r="L120" i="2"/>
  <c r="L129" i="2" s="1"/>
  <c r="R28" i="2" s="1"/>
  <c r="L127" i="2"/>
  <c r="L99" i="2"/>
  <c r="L42" i="2"/>
  <c r="O17" i="2" s="1"/>
  <c r="L139" i="2"/>
  <c r="L137" i="2"/>
  <c r="L83" i="2"/>
  <c r="L36" i="2"/>
  <c r="L143" i="2"/>
  <c r="L130" i="2"/>
  <c r="L132" i="2" s="1"/>
  <c r="L128" i="2"/>
  <c r="L104" i="2"/>
  <c r="L89" i="2"/>
  <c r="L88" i="2"/>
  <c r="L85" i="2"/>
  <c r="L76" i="2"/>
  <c r="R16" i="2" s="1"/>
  <c r="L62" i="2"/>
  <c r="L32" i="2"/>
  <c r="L31" i="2"/>
  <c r="L26" i="2"/>
  <c r="L25" i="2"/>
  <c r="L24" i="2"/>
  <c r="L23" i="2"/>
  <c r="L22" i="2"/>
  <c r="L21" i="2"/>
  <c r="L20" i="2"/>
  <c r="L14" i="2"/>
  <c r="L9" i="2"/>
  <c r="B42" i="2"/>
  <c r="D139" i="2"/>
  <c r="F139" i="2" s="1"/>
  <c r="D137" i="2"/>
  <c r="F137" i="2" s="1"/>
  <c r="J69" i="2"/>
  <c r="D41" i="2"/>
  <c r="B12" i="2"/>
  <c r="H1" i="2"/>
  <c r="K112" i="2"/>
  <c r="K109" i="2"/>
  <c r="K99" i="2"/>
  <c r="K96" i="2"/>
  <c r="J92" i="2"/>
  <c r="I92" i="2"/>
  <c r="L92" i="2" s="1"/>
  <c r="H109" i="2"/>
  <c r="H137" i="2"/>
  <c r="H147" i="2"/>
  <c r="H140" i="2"/>
  <c r="H139" i="2"/>
  <c r="H104" i="2"/>
  <c r="K156" i="2"/>
  <c r="J156" i="2"/>
  <c r="I156" i="2"/>
  <c r="K154" i="2"/>
  <c r="K153" i="2"/>
  <c r="K152" i="2"/>
  <c r="K155" i="2" s="1"/>
  <c r="K149" i="2"/>
  <c r="K148" i="2"/>
  <c r="K145" i="2"/>
  <c r="K142" i="2"/>
  <c r="K141" i="2"/>
  <c r="K143" i="2" s="1"/>
  <c r="K150" i="2" s="1"/>
  <c r="K151" i="2" s="1"/>
  <c r="K140" i="2"/>
  <c r="K139" i="2"/>
  <c r="K138" i="2"/>
  <c r="K137" i="2"/>
  <c r="K136" i="2"/>
  <c r="K134" i="2"/>
  <c r="K133" i="2"/>
  <c r="L133" i="2" s="1"/>
  <c r="K130" i="2"/>
  <c r="K132" i="2" s="1"/>
  <c r="K128" i="2"/>
  <c r="J128" i="2"/>
  <c r="I128" i="2"/>
  <c r="K127" i="2"/>
  <c r="K120" i="2" s="1"/>
  <c r="K129" i="2" s="1"/>
  <c r="K126" i="2"/>
  <c r="K125" i="2"/>
  <c r="K124" i="2"/>
  <c r="K123" i="2"/>
  <c r="K122" i="2"/>
  <c r="K121" i="2"/>
  <c r="K118" i="2"/>
  <c r="K117" i="2"/>
  <c r="K116" i="2"/>
  <c r="K119" i="2" s="1"/>
  <c r="K114" i="2"/>
  <c r="L114" i="2" s="1"/>
  <c r="K113" i="2"/>
  <c r="K111" i="2"/>
  <c r="K110" i="2"/>
  <c r="K107" i="2"/>
  <c r="K106" i="2"/>
  <c r="K105" i="2"/>
  <c r="K115" i="2" s="1"/>
  <c r="K103" i="2"/>
  <c r="K104" i="2" s="1"/>
  <c r="K100" i="2"/>
  <c r="K97" i="2"/>
  <c r="K94" i="2"/>
  <c r="J94" i="2"/>
  <c r="I94" i="2"/>
  <c r="K93" i="2"/>
  <c r="J93" i="2"/>
  <c r="I93" i="2"/>
  <c r="K92" i="2"/>
  <c r="K89" i="2"/>
  <c r="K88" i="2"/>
  <c r="K87" i="2"/>
  <c r="K90" i="2" s="1"/>
  <c r="K85" i="2"/>
  <c r="K84" i="2"/>
  <c r="K83" i="2"/>
  <c r="K82" i="2"/>
  <c r="K81" i="2"/>
  <c r="K79" i="2"/>
  <c r="K78" i="2"/>
  <c r="J78" i="2"/>
  <c r="I78" i="2"/>
  <c r="L78" i="2" s="1"/>
  <c r="K77" i="2"/>
  <c r="K75" i="2"/>
  <c r="K71" i="2"/>
  <c r="K69" i="2"/>
  <c r="I69" i="2"/>
  <c r="K68" i="2"/>
  <c r="K66" i="2"/>
  <c r="K65" i="2"/>
  <c r="K64" i="2"/>
  <c r="K72" i="2" s="1"/>
  <c r="K63" i="2"/>
  <c r="K62" i="2"/>
  <c r="J62" i="2"/>
  <c r="I62" i="2"/>
  <c r="J58" i="2"/>
  <c r="J36" i="2"/>
  <c r="I58" i="2"/>
  <c r="I36" i="2"/>
  <c r="K56" i="2"/>
  <c r="K55" i="2"/>
  <c r="K52" i="2"/>
  <c r="K51" i="2"/>
  <c r="K50" i="2"/>
  <c r="K49" i="2"/>
  <c r="K48" i="2"/>
  <c r="K47" i="2"/>
  <c r="K45" i="2"/>
  <c r="K44" i="2"/>
  <c r="K39" i="2"/>
  <c r="K37" i="2"/>
  <c r="K36" i="2"/>
  <c r="K34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L17" i="2" s="1"/>
  <c r="K14" i="2"/>
  <c r="K13" i="2"/>
  <c r="K11" i="2"/>
  <c r="K10" i="2"/>
  <c r="F154" i="2"/>
  <c r="F153" i="2"/>
  <c r="F152" i="2"/>
  <c r="F149" i="2"/>
  <c r="F148" i="2"/>
  <c r="F142" i="2"/>
  <c r="F141" i="2"/>
  <c r="F138" i="2"/>
  <c r="F136" i="2"/>
  <c r="F130" i="2"/>
  <c r="F128" i="2"/>
  <c r="F126" i="2"/>
  <c r="F125" i="2"/>
  <c r="F124" i="2"/>
  <c r="F123" i="2"/>
  <c r="F122" i="2"/>
  <c r="F121" i="2"/>
  <c r="F118" i="2"/>
  <c r="F116" i="2"/>
  <c r="F113" i="2"/>
  <c r="F111" i="2"/>
  <c r="F106" i="2"/>
  <c r="F105" i="2"/>
  <c r="F103" i="2"/>
  <c r="F89" i="2"/>
  <c r="F88" i="2"/>
  <c r="F87" i="2"/>
  <c r="F85" i="2"/>
  <c r="F82" i="2"/>
  <c r="F81" i="2"/>
  <c r="F77" i="2"/>
  <c r="F75" i="2"/>
  <c r="F71" i="2"/>
  <c r="F66" i="2"/>
  <c r="F64" i="2"/>
  <c r="F63" i="2"/>
  <c r="F62" i="2"/>
  <c r="F55" i="2"/>
  <c r="F52" i="2"/>
  <c r="F51" i="2"/>
  <c r="F48" i="2"/>
  <c r="F47" i="2"/>
  <c r="F44" i="2"/>
  <c r="F40" i="2"/>
  <c r="F39" i="2"/>
  <c r="F37" i="2"/>
  <c r="F34" i="2"/>
  <c r="F32" i="2"/>
  <c r="F30" i="2"/>
  <c r="F29" i="2"/>
  <c r="F28" i="2"/>
  <c r="F27" i="2"/>
  <c r="F26" i="2"/>
  <c r="F25" i="2"/>
  <c r="F24" i="2"/>
  <c r="F23" i="2"/>
  <c r="F22" i="2"/>
  <c r="F21" i="2"/>
  <c r="F20" i="2"/>
  <c r="F14" i="2"/>
  <c r="F11" i="2"/>
  <c r="F10" i="2"/>
  <c r="H152" i="2"/>
  <c r="H136" i="2"/>
  <c r="H130" i="2"/>
  <c r="H132" i="2" s="1"/>
  <c r="H128" i="2"/>
  <c r="H127" i="2"/>
  <c r="H126" i="2"/>
  <c r="H125" i="2"/>
  <c r="H124" i="2"/>
  <c r="H123" i="2"/>
  <c r="H122" i="2"/>
  <c r="H121" i="2"/>
  <c r="H120" i="2"/>
  <c r="H118" i="2"/>
  <c r="H117" i="2"/>
  <c r="H116" i="2"/>
  <c r="H114" i="2"/>
  <c r="H113" i="2"/>
  <c r="H112" i="2"/>
  <c r="H111" i="2"/>
  <c r="H110" i="2"/>
  <c r="H107" i="2"/>
  <c r="H105" i="2"/>
  <c r="H115" i="2" s="1"/>
  <c r="H100" i="2"/>
  <c r="H99" i="2"/>
  <c r="H97" i="2"/>
  <c r="H96" i="2"/>
  <c r="H101" i="2" s="1"/>
  <c r="H94" i="2"/>
  <c r="H93" i="2"/>
  <c r="H92" i="2"/>
  <c r="H88" i="2"/>
  <c r="H87" i="2"/>
  <c r="H85" i="2"/>
  <c r="H84" i="2"/>
  <c r="H82" i="2"/>
  <c r="H81" i="2"/>
  <c r="H79" i="2"/>
  <c r="H78" i="2"/>
  <c r="H77" i="2"/>
  <c r="H75" i="2"/>
  <c r="H74" i="2"/>
  <c r="H76" i="2" s="1"/>
  <c r="H71" i="2"/>
  <c r="H69" i="2"/>
  <c r="H64" i="2"/>
  <c r="H72" i="2" s="1"/>
  <c r="H63" i="2"/>
  <c r="H62" i="2"/>
  <c r="H56" i="2"/>
  <c r="H55" i="2"/>
  <c r="H52" i="2"/>
  <c r="H51" i="2"/>
  <c r="H50" i="2"/>
  <c r="H49" i="2"/>
  <c r="H48" i="2"/>
  <c r="H47" i="2"/>
  <c r="H45" i="2"/>
  <c r="H44" i="2"/>
  <c r="H41" i="2"/>
  <c r="H40" i="2"/>
  <c r="H39" i="2"/>
  <c r="H37" i="2"/>
  <c r="H36" i="2"/>
  <c r="H35" i="2"/>
  <c r="H34" i="2"/>
  <c r="H32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4" i="2"/>
  <c r="H13" i="2"/>
  <c r="H11" i="2"/>
  <c r="H10" i="2"/>
  <c r="D156" i="2"/>
  <c r="D155" i="2"/>
  <c r="F155" i="2" s="1"/>
  <c r="C154" i="2"/>
  <c r="B154" i="2"/>
  <c r="C153" i="2"/>
  <c r="H153" i="2" s="1"/>
  <c r="E152" i="2"/>
  <c r="B149" i="2"/>
  <c r="C148" i="2"/>
  <c r="B148" i="2"/>
  <c r="D147" i="2"/>
  <c r="F147" i="2" s="1"/>
  <c r="C147" i="2"/>
  <c r="B147" i="2"/>
  <c r="D146" i="2"/>
  <c r="F146" i="2" s="1"/>
  <c r="C146" i="2"/>
  <c r="D145" i="2"/>
  <c r="F145" i="2" s="1"/>
  <c r="C145" i="2"/>
  <c r="B145" i="2"/>
  <c r="G144" i="2"/>
  <c r="D144" i="2"/>
  <c r="F144" i="2" s="1"/>
  <c r="C144" i="2"/>
  <c r="D143" i="2"/>
  <c r="F143" i="2" s="1"/>
  <c r="B143" i="2"/>
  <c r="C142" i="2"/>
  <c r="C141" i="2"/>
  <c r="H141" i="2" s="1"/>
  <c r="D140" i="2"/>
  <c r="F140" i="2" s="1"/>
  <c r="C140" i="2"/>
  <c r="B140" i="2"/>
  <c r="C139" i="2"/>
  <c r="B139" i="2"/>
  <c r="E139" i="2" s="1"/>
  <c r="G139" i="2" s="1"/>
  <c r="C138" i="2"/>
  <c r="B138" i="2"/>
  <c r="E138" i="2" s="1"/>
  <c r="G138" i="2" s="1"/>
  <c r="C137" i="2"/>
  <c r="B137" i="2"/>
  <c r="E136" i="2"/>
  <c r="G135" i="2"/>
  <c r="D135" i="2"/>
  <c r="F135" i="2" s="1"/>
  <c r="C135" i="2"/>
  <c r="B135" i="2"/>
  <c r="D134" i="2"/>
  <c r="F134" i="2" s="1"/>
  <c r="C134" i="2"/>
  <c r="B134" i="2"/>
  <c r="H134" i="2" s="1"/>
  <c r="D133" i="2"/>
  <c r="F133" i="2" s="1"/>
  <c r="C133" i="2"/>
  <c r="H133" i="2" s="1"/>
  <c r="G131" i="2"/>
  <c r="D131" i="2"/>
  <c r="C131" i="2"/>
  <c r="C132" i="2" s="1"/>
  <c r="B131" i="2"/>
  <c r="B130" i="2"/>
  <c r="E128" i="2"/>
  <c r="G128" i="2" s="1"/>
  <c r="D127" i="2"/>
  <c r="F127" i="2" s="1"/>
  <c r="C127" i="2"/>
  <c r="B127" i="2"/>
  <c r="E127" i="2" s="1"/>
  <c r="G127" i="2" s="1"/>
  <c r="C126" i="2"/>
  <c r="B126" i="2"/>
  <c r="E126" i="2" s="1"/>
  <c r="G126" i="2" s="1"/>
  <c r="C125" i="2"/>
  <c r="B125" i="2"/>
  <c r="E125" i="2" s="1"/>
  <c r="G125" i="2" s="1"/>
  <c r="C124" i="2"/>
  <c r="B124" i="2"/>
  <c r="E124" i="2" s="1"/>
  <c r="G124" i="2" s="1"/>
  <c r="C123" i="2"/>
  <c r="B123" i="2"/>
  <c r="E123" i="2" s="1"/>
  <c r="G123" i="2" s="1"/>
  <c r="C122" i="2"/>
  <c r="B122" i="2"/>
  <c r="E122" i="2" s="1"/>
  <c r="G122" i="2" s="1"/>
  <c r="C121" i="2"/>
  <c r="B121" i="2"/>
  <c r="E121" i="2" s="1"/>
  <c r="G121" i="2" s="1"/>
  <c r="D120" i="2"/>
  <c r="C120" i="2"/>
  <c r="C129" i="2" s="1"/>
  <c r="B120" i="2"/>
  <c r="C118" i="2"/>
  <c r="D117" i="2"/>
  <c r="B117" i="2"/>
  <c r="E116" i="2"/>
  <c r="D114" i="2"/>
  <c r="F114" i="2" s="1"/>
  <c r="C114" i="2"/>
  <c r="B114" i="2"/>
  <c r="E114" i="2" s="1"/>
  <c r="G114" i="2" s="1"/>
  <c r="B113" i="2"/>
  <c r="E113" i="2" s="1"/>
  <c r="G113" i="2" s="1"/>
  <c r="D112" i="2"/>
  <c r="F112" i="2" s="1"/>
  <c r="C112" i="2"/>
  <c r="B112" i="2"/>
  <c r="E112" i="2" s="1"/>
  <c r="G112" i="2" s="1"/>
  <c r="B111" i="2"/>
  <c r="E111" i="2" s="1"/>
  <c r="G111" i="2" s="1"/>
  <c r="D110" i="2"/>
  <c r="F110" i="2" s="1"/>
  <c r="C110" i="2"/>
  <c r="B110" i="2"/>
  <c r="E110" i="2" s="1"/>
  <c r="G110" i="2" s="1"/>
  <c r="D109" i="2"/>
  <c r="F109" i="2" s="1"/>
  <c r="C109" i="2"/>
  <c r="B109" i="2"/>
  <c r="E109" i="2" s="1"/>
  <c r="G109" i="2" s="1"/>
  <c r="D108" i="2"/>
  <c r="F108" i="2" s="1"/>
  <c r="C108" i="2"/>
  <c r="B108" i="2"/>
  <c r="E108" i="2" s="1"/>
  <c r="D107" i="2"/>
  <c r="C107" i="2"/>
  <c r="B107" i="2"/>
  <c r="E107" i="2" s="1"/>
  <c r="G107" i="2" s="1"/>
  <c r="C106" i="2"/>
  <c r="C115" i="2" s="1"/>
  <c r="B106" i="2"/>
  <c r="E105" i="2"/>
  <c r="C103" i="2"/>
  <c r="B103" i="2"/>
  <c r="E103" i="2" s="1"/>
  <c r="G103" i="2" s="1"/>
  <c r="D102" i="2"/>
  <c r="C102" i="2"/>
  <c r="C104" i="2" s="1"/>
  <c r="B102" i="2"/>
  <c r="D100" i="2"/>
  <c r="F100" i="2" s="1"/>
  <c r="C100" i="2"/>
  <c r="B100" i="2"/>
  <c r="E100" i="2" s="1"/>
  <c r="G100" i="2" s="1"/>
  <c r="D99" i="2"/>
  <c r="F99" i="2" s="1"/>
  <c r="C99" i="2"/>
  <c r="B99" i="2"/>
  <c r="E99" i="2" s="1"/>
  <c r="G99" i="2" s="1"/>
  <c r="D98" i="2"/>
  <c r="F98" i="2" s="1"/>
  <c r="C98" i="2"/>
  <c r="E98" i="2" s="1"/>
  <c r="G98" i="2" s="1"/>
  <c r="D97" i="2"/>
  <c r="F97" i="2" s="1"/>
  <c r="C97" i="2"/>
  <c r="B97" i="2"/>
  <c r="E97" i="2" s="1"/>
  <c r="G97" i="2" s="1"/>
  <c r="D96" i="2"/>
  <c r="C96" i="2"/>
  <c r="C101" i="2" s="1"/>
  <c r="B96" i="2"/>
  <c r="D94" i="2"/>
  <c r="F94" i="2" s="1"/>
  <c r="C94" i="2"/>
  <c r="B94" i="2"/>
  <c r="E94" i="2" s="1"/>
  <c r="G94" i="2" s="1"/>
  <c r="D93" i="2"/>
  <c r="F93" i="2" s="1"/>
  <c r="C93" i="2"/>
  <c r="E93" i="2" s="1"/>
  <c r="G93" i="2" s="1"/>
  <c r="D92" i="2"/>
  <c r="F92" i="2" s="1"/>
  <c r="C92" i="2"/>
  <c r="B92" i="2"/>
  <c r="E92" i="2" s="1"/>
  <c r="G92" i="2" s="1"/>
  <c r="F91" i="2"/>
  <c r="C91" i="2"/>
  <c r="E91" i="2" s="1"/>
  <c r="D90" i="2"/>
  <c r="F90" i="2" s="1"/>
  <c r="G89" i="2"/>
  <c r="C89" i="2"/>
  <c r="C90" i="2" s="1"/>
  <c r="B89" i="2"/>
  <c r="G88" i="2"/>
  <c r="B88" i="2"/>
  <c r="B90" i="2" s="1"/>
  <c r="E90" i="2" s="1"/>
  <c r="E87" i="2"/>
  <c r="G85" i="2"/>
  <c r="B85" i="2"/>
  <c r="C84" i="2"/>
  <c r="C86" i="2" s="1"/>
  <c r="B84" i="2"/>
  <c r="D83" i="2"/>
  <c r="F83" i="2" s="1"/>
  <c r="C83" i="2"/>
  <c r="B83" i="2"/>
  <c r="E83" i="2" s="1"/>
  <c r="G83" i="2" s="1"/>
  <c r="B82" i="2"/>
  <c r="E82" i="2" s="1"/>
  <c r="G82" i="2" s="1"/>
  <c r="B81" i="2"/>
  <c r="E81" i="2" s="1"/>
  <c r="G81" i="2" s="1"/>
  <c r="D79" i="2"/>
  <c r="C78" i="2"/>
  <c r="B78" i="2"/>
  <c r="E78" i="2" s="1"/>
  <c r="G78" i="2" s="1"/>
  <c r="B77" i="2"/>
  <c r="E77" i="2" s="1"/>
  <c r="G77" i="2" s="1"/>
  <c r="B75" i="2"/>
  <c r="E75" i="2" s="1"/>
  <c r="C74" i="2"/>
  <c r="B74" i="2"/>
  <c r="D73" i="2"/>
  <c r="C73" i="2"/>
  <c r="C76" i="2" s="1"/>
  <c r="B73" i="2"/>
  <c r="C71" i="2"/>
  <c r="E71" i="2" s="1"/>
  <c r="D70" i="2"/>
  <c r="F70" i="2" s="1"/>
  <c r="C70" i="2"/>
  <c r="B70" i="2"/>
  <c r="E70" i="2" s="1"/>
  <c r="D69" i="2"/>
  <c r="D68" i="2"/>
  <c r="F68" i="2" s="1"/>
  <c r="C68" i="2"/>
  <c r="B68" i="2"/>
  <c r="E68" i="2" s="1"/>
  <c r="G68" i="2" s="1"/>
  <c r="D67" i="2"/>
  <c r="F67" i="2" s="1"/>
  <c r="C67" i="2"/>
  <c r="B67" i="2"/>
  <c r="E67" i="2" s="1"/>
  <c r="C66" i="2"/>
  <c r="B66" i="2"/>
  <c r="E66" i="2" s="1"/>
  <c r="G66" i="2" s="1"/>
  <c r="D65" i="2"/>
  <c r="C65" i="2"/>
  <c r="B65" i="2"/>
  <c r="E65" i="2" s="1"/>
  <c r="G65" i="2" s="1"/>
  <c r="C64" i="2"/>
  <c r="C72" i="2" s="1"/>
  <c r="B64" i="2"/>
  <c r="C63" i="2"/>
  <c r="B63" i="2"/>
  <c r="G62" i="2"/>
  <c r="D59" i="2"/>
  <c r="F59" i="2" s="1"/>
  <c r="C59" i="2"/>
  <c r="B59" i="2"/>
  <c r="E59" i="2" s="1"/>
  <c r="G59" i="2" s="1"/>
  <c r="D58" i="2"/>
  <c r="F58" i="2" s="1"/>
  <c r="C58" i="2"/>
  <c r="E58" i="2" s="1"/>
  <c r="G58" i="2" s="1"/>
  <c r="D56" i="2"/>
  <c r="C56" i="2"/>
  <c r="B56" i="2"/>
  <c r="C55" i="2"/>
  <c r="D53" i="2"/>
  <c r="F53" i="2" s="1"/>
  <c r="C53" i="2"/>
  <c r="B53" i="2"/>
  <c r="E53" i="2" s="1"/>
  <c r="G53" i="2" s="1"/>
  <c r="E52" i="2"/>
  <c r="B51" i="2"/>
  <c r="E51" i="2" s="1"/>
  <c r="G51" i="2" s="1"/>
  <c r="D50" i="2"/>
  <c r="F50" i="2" s="1"/>
  <c r="C50" i="2"/>
  <c r="B50" i="2"/>
  <c r="E50" i="2" s="1"/>
  <c r="G50" i="2" s="1"/>
  <c r="D49" i="2"/>
  <c r="C49" i="2"/>
  <c r="B49" i="2"/>
  <c r="E49" i="2" s="1"/>
  <c r="G49" i="2" s="1"/>
  <c r="C48" i="2"/>
  <c r="B48" i="2"/>
  <c r="C47" i="2"/>
  <c r="D45" i="2"/>
  <c r="C45" i="2"/>
  <c r="C46" i="2" s="1"/>
  <c r="B45" i="2"/>
  <c r="E44" i="2"/>
  <c r="C41" i="2"/>
  <c r="C42" i="2" s="1"/>
  <c r="C43" i="2" s="1"/>
  <c r="B41" i="2"/>
  <c r="E40" i="2"/>
  <c r="G40" i="2" s="1"/>
  <c r="E39" i="2"/>
  <c r="B37" i="2"/>
  <c r="E37" i="2" s="1"/>
  <c r="G37" i="2" s="1"/>
  <c r="D36" i="2"/>
  <c r="C36" i="2"/>
  <c r="B36" i="2"/>
  <c r="E36" i="2" s="1"/>
  <c r="G36" i="2" s="1"/>
  <c r="B34" i="2"/>
  <c r="E34" i="2" s="1"/>
  <c r="G34" i="2" s="1"/>
  <c r="B33" i="2"/>
  <c r="G32" i="2"/>
  <c r="C32" i="2"/>
  <c r="G31" i="2"/>
  <c r="C31" i="2"/>
  <c r="C33" i="2" s="1"/>
  <c r="C30" i="2"/>
  <c r="E30" i="2" s="1"/>
  <c r="G30" i="2" s="1"/>
  <c r="E29" i="2"/>
  <c r="C28" i="2"/>
  <c r="B28" i="2"/>
  <c r="E28" i="2" s="1"/>
  <c r="G28" i="2" s="1"/>
  <c r="C27" i="2"/>
  <c r="E27" i="2" s="1"/>
  <c r="G27" i="2" s="1"/>
  <c r="G26" i="2"/>
  <c r="B26" i="2"/>
  <c r="G25" i="2"/>
  <c r="G24" i="2"/>
  <c r="G23" i="2"/>
  <c r="G22" i="2"/>
  <c r="G21" i="2"/>
  <c r="G20" i="2"/>
  <c r="B20" i="2"/>
  <c r="D19" i="2"/>
  <c r="F19" i="2" s="1"/>
  <c r="C19" i="2"/>
  <c r="B19" i="2"/>
  <c r="E19" i="2" s="1"/>
  <c r="G19" i="2" s="1"/>
  <c r="D18" i="2"/>
  <c r="F18" i="2" s="1"/>
  <c r="C18" i="2"/>
  <c r="B18" i="2"/>
  <c r="E18" i="2" s="1"/>
  <c r="G18" i="2" s="1"/>
  <c r="D17" i="2"/>
  <c r="F17" i="2" s="1"/>
  <c r="B17" i="2"/>
  <c r="E17" i="2" s="1"/>
  <c r="G17" i="2" s="1"/>
  <c r="D16" i="2"/>
  <c r="C16" i="2"/>
  <c r="C38" i="2" s="1"/>
  <c r="B16" i="2"/>
  <c r="G14" i="2"/>
  <c r="B14" i="2"/>
  <c r="D13" i="2"/>
  <c r="F13" i="2" s="1"/>
  <c r="C13" i="2"/>
  <c r="B13" i="2"/>
  <c r="E13" i="2" s="1"/>
  <c r="G13" i="2" s="1"/>
  <c r="C12" i="2"/>
  <c r="C11" i="2"/>
  <c r="E10" i="2"/>
  <c r="D9" i="2"/>
  <c r="K9" i="2" s="1"/>
  <c r="C9" i="2"/>
  <c r="B8" i="2"/>
  <c r="B9" i="2" s="1"/>
  <c r="E7" i="2"/>
  <c r="F15" i="1"/>
  <c r="G144" i="1"/>
  <c r="G135" i="1"/>
  <c r="G131" i="1"/>
  <c r="G125" i="1"/>
  <c r="G124" i="1"/>
  <c r="G123" i="1"/>
  <c r="G122" i="1"/>
  <c r="G121" i="1"/>
  <c r="G89" i="1"/>
  <c r="G88" i="1"/>
  <c r="G85" i="1"/>
  <c r="G62" i="1"/>
  <c r="G32" i="1"/>
  <c r="G31" i="1"/>
  <c r="G26" i="1"/>
  <c r="G25" i="1"/>
  <c r="G24" i="1"/>
  <c r="G23" i="1"/>
  <c r="G22" i="1"/>
  <c r="G21" i="1"/>
  <c r="G20" i="1"/>
  <c r="G14" i="1"/>
  <c r="D120" i="1"/>
  <c r="D129" i="1" s="1"/>
  <c r="B18" i="1"/>
  <c r="D50" i="1"/>
  <c r="D49" i="1"/>
  <c r="C50" i="1"/>
  <c r="C49" i="1"/>
  <c r="C48" i="1"/>
  <c r="D19" i="1"/>
  <c r="D18" i="1"/>
  <c r="D17" i="1"/>
  <c r="C19" i="1"/>
  <c r="C18" i="1"/>
  <c r="D156" i="1"/>
  <c r="E156" i="1" s="1"/>
  <c r="G156" i="1" s="1"/>
  <c r="D155" i="1"/>
  <c r="C154" i="1"/>
  <c r="B154" i="1"/>
  <c r="C153" i="1"/>
  <c r="E152" i="1"/>
  <c r="G152" i="1" s="1"/>
  <c r="B149" i="1"/>
  <c r="E149" i="1" s="1"/>
  <c r="G149" i="1" s="1"/>
  <c r="C148" i="1"/>
  <c r="B148" i="1"/>
  <c r="E148" i="1" s="1"/>
  <c r="G148" i="1" s="1"/>
  <c r="D147" i="1"/>
  <c r="C147" i="1"/>
  <c r="B147" i="1"/>
  <c r="E147" i="1" s="1"/>
  <c r="G147" i="1" s="1"/>
  <c r="D146" i="1"/>
  <c r="C146" i="1"/>
  <c r="E146" i="1" s="1"/>
  <c r="G146" i="1" s="1"/>
  <c r="D145" i="1"/>
  <c r="C145" i="1"/>
  <c r="B145" i="1"/>
  <c r="E145" i="1" s="1"/>
  <c r="G145" i="1" s="1"/>
  <c r="D144" i="1"/>
  <c r="C144" i="1"/>
  <c r="D143" i="1"/>
  <c r="B143" i="1"/>
  <c r="C142" i="1"/>
  <c r="E142" i="1" s="1"/>
  <c r="G142" i="1" s="1"/>
  <c r="C141" i="1"/>
  <c r="D140" i="1"/>
  <c r="C140" i="1"/>
  <c r="B140" i="1"/>
  <c r="E140" i="1" s="1"/>
  <c r="G140" i="1" s="1"/>
  <c r="D139" i="1"/>
  <c r="C139" i="1"/>
  <c r="B139" i="1"/>
  <c r="E139" i="1" s="1"/>
  <c r="G139" i="1" s="1"/>
  <c r="C138" i="1"/>
  <c r="B138" i="1"/>
  <c r="E138" i="1" s="1"/>
  <c r="G138" i="1" s="1"/>
  <c r="D137" i="1"/>
  <c r="D150" i="1" s="1"/>
  <c r="C137" i="1"/>
  <c r="B137" i="1"/>
  <c r="E136" i="1"/>
  <c r="G136" i="1" s="1"/>
  <c r="D135" i="1"/>
  <c r="C135" i="1"/>
  <c r="B135" i="1"/>
  <c r="D134" i="1"/>
  <c r="C134" i="1"/>
  <c r="B134" i="1"/>
  <c r="D133" i="1"/>
  <c r="D151" i="1" s="1"/>
  <c r="C133" i="1"/>
  <c r="D131" i="1"/>
  <c r="D132" i="1" s="1"/>
  <c r="C131" i="1"/>
  <c r="C132" i="1" s="1"/>
  <c r="B131" i="1"/>
  <c r="B130" i="1"/>
  <c r="E128" i="1"/>
  <c r="G128" i="1" s="1"/>
  <c r="D127" i="1"/>
  <c r="C127" i="1"/>
  <c r="B127" i="1"/>
  <c r="E127" i="1" s="1"/>
  <c r="G127" i="1" s="1"/>
  <c r="C126" i="1"/>
  <c r="B126" i="1"/>
  <c r="E126" i="1" s="1"/>
  <c r="G126" i="1" s="1"/>
  <c r="C125" i="1"/>
  <c r="B125" i="1"/>
  <c r="E125" i="1" s="1"/>
  <c r="C124" i="1"/>
  <c r="B124" i="1"/>
  <c r="E124" i="1" s="1"/>
  <c r="C123" i="1"/>
  <c r="B123" i="1"/>
  <c r="E123" i="1" s="1"/>
  <c r="C122" i="1"/>
  <c r="B122" i="1"/>
  <c r="E122" i="1" s="1"/>
  <c r="C121" i="1"/>
  <c r="B121" i="1"/>
  <c r="E121" i="1" s="1"/>
  <c r="C120" i="1"/>
  <c r="B120" i="1"/>
  <c r="C118" i="1"/>
  <c r="D117" i="1"/>
  <c r="D119" i="1" s="1"/>
  <c r="B117" i="1"/>
  <c r="E116" i="1"/>
  <c r="G116" i="1" s="1"/>
  <c r="D114" i="1"/>
  <c r="C114" i="1"/>
  <c r="B114" i="1"/>
  <c r="B113" i="1"/>
  <c r="E113" i="1" s="1"/>
  <c r="G113" i="1" s="1"/>
  <c r="D112" i="1"/>
  <c r="C112" i="1"/>
  <c r="B112" i="1"/>
  <c r="E112" i="1" s="1"/>
  <c r="G112" i="1" s="1"/>
  <c r="B111" i="1"/>
  <c r="E111" i="1" s="1"/>
  <c r="G111" i="1" s="1"/>
  <c r="D110" i="1"/>
  <c r="C110" i="1"/>
  <c r="B110" i="1"/>
  <c r="E110" i="1" s="1"/>
  <c r="G110" i="1" s="1"/>
  <c r="D109" i="1"/>
  <c r="C109" i="1"/>
  <c r="B109" i="1"/>
  <c r="E109" i="1" s="1"/>
  <c r="G109" i="1" s="1"/>
  <c r="D108" i="1"/>
  <c r="C108" i="1"/>
  <c r="B108" i="1"/>
  <c r="E108" i="1" s="1"/>
  <c r="G108" i="1" s="1"/>
  <c r="D107" i="1"/>
  <c r="C107" i="1"/>
  <c r="B107" i="1"/>
  <c r="E107" i="1" s="1"/>
  <c r="G107" i="1" s="1"/>
  <c r="C106" i="1"/>
  <c r="B106" i="1"/>
  <c r="E105" i="1"/>
  <c r="G105" i="1" s="1"/>
  <c r="C103" i="1"/>
  <c r="B103" i="1"/>
  <c r="E103" i="1" s="1"/>
  <c r="G103" i="1" s="1"/>
  <c r="D102" i="1"/>
  <c r="D104" i="1" s="1"/>
  <c r="C102" i="1"/>
  <c r="C104" i="1" s="1"/>
  <c r="B102" i="1"/>
  <c r="D100" i="1"/>
  <c r="C100" i="1"/>
  <c r="B100" i="1"/>
  <c r="E100" i="1" s="1"/>
  <c r="G100" i="1" s="1"/>
  <c r="D99" i="1"/>
  <c r="C99" i="1"/>
  <c r="B99" i="1"/>
  <c r="E99" i="1" s="1"/>
  <c r="G99" i="1" s="1"/>
  <c r="D98" i="1"/>
  <c r="C98" i="1"/>
  <c r="E98" i="1" s="1"/>
  <c r="G98" i="1" s="1"/>
  <c r="D97" i="1"/>
  <c r="C97" i="1"/>
  <c r="B97" i="1"/>
  <c r="E97" i="1" s="1"/>
  <c r="G97" i="1" s="1"/>
  <c r="D96" i="1"/>
  <c r="D101" i="1" s="1"/>
  <c r="C96" i="1"/>
  <c r="C101" i="1" s="1"/>
  <c r="B96" i="1"/>
  <c r="D94" i="1"/>
  <c r="C94" i="1"/>
  <c r="B94" i="1"/>
  <c r="E94" i="1" s="1"/>
  <c r="G94" i="1" s="1"/>
  <c r="D93" i="1"/>
  <c r="C93" i="1"/>
  <c r="E93" i="1" s="1"/>
  <c r="G93" i="1" s="1"/>
  <c r="D92" i="1"/>
  <c r="C92" i="1"/>
  <c r="B92" i="1"/>
  <c r="E92" i="1" s="1"/>
  <c r="G92" i="1" s="1"/>
  <c r="D91" i="1"/>
  <c r="C91" i="1"/>
  <c r="E91" i="1" s="1"/>
  <c r="G91" i="1" s="1"/>
  <c r="D90" i="1"/>
  <c r="C89" i="1"/>
  <c r="C90" i="1" s="1"/>
  <c r="B89" i="1"/>
  <c r="B88" i="1"/>
  <c r="E87" i="1"/>
  <c r="G87" i="1" s="1"/>
  <c r="B85" i="1"/>
  <c r="D84" i="1"/>
  <c r="D86" i="1" s="1"/>
  <c r="C84" i="1"/>
  <c r="C86" i="1" s="1"/>
  <c r="B84" i="1"/>
  <c r="D83" i="1"/>
  <c r="C83" i="1"/>
  <c r="B83" i="1"/>
  <c r="E83" i="1" s="1"/>
  <c r="G83" i="1" s="1"/>
  <c r="B82" i="1"/>
  <c r="E82" i="1" s="1"/>
  <c r="G82" i="1" s="1"/>
  <c r="B81" i="1"/>
  <c r="E81" i="1" s="1"/>
  <c r="G81" i="1" s="1"/>
  <c r="D80" i="1"/>
  <c r="E80" i="1" s="1"/>
  <c r="G80" i="1" s="1"/>
  <c r="D79" i="1"/>
  <c r="E79" i="1" s="1"/>
  <c r="G79" i="1" s="1"/>
  <c r="D78" i="1"/>
  <c r="C78" i="1"/>
  <c r="C95" i="1" s="1"/>
  <c r="B78" i="1"/>
  <c r="B77" i="1"/>
  <c r="E77" i="1" s="1"/>
  <c r="G77" i="1" s="1"/>
  <c r="B75" i="1"/>
  <c r="E75" i="1" s="1"/>
  <c r="G75" i="1" s="1"/>
  <c r="D74" i="1"/>
  <c r="C74" i="1"/>
  <c r="B74" i="1"/>
  <c r="E74" i="1" s="1"/>
  <c r="G74" i="1" s="1"/>
  <c r="D73" i="1"/>
  <c r="C73" i="1"/>
  <c r="B73" i="1"/>
  <c r="C71" i="1"/>
  <c r="E71" i="1" s="1"/>
  <c r="G71" i="1" s="1"/>
  <c r="D70" i="1"/>
  <c r="C70" i="1"/>
  <c r="B70" i="1"/>
  <c r="E70" i="1" s="1"/>
  <c r="G70" i="1" s="1"/>
  <c r="D69" i="1"/>
  <c r="E69" i="1" s="1"/>
  <c r="G69" i="1" s="1"/>
  <c r="D68" i="1"/>
  <c r="C68" i="1"/>
  <c r="B68" i="1"/>
  <c r="E68" i="1" s="1"/>
  <c r="G68" i="1" s="1"/>
  <c r="D67" i="1"/>
  <c r="C67" i="1"/>
  <c r="B67" i="1"/>
  <c r="C66" i="1"/>
  <c r="B66" i="1"/>
  <c r="E66" i="1" s="1"/>
  <c r="G66" i="1" s="1"/>
  <c r="D65" i="1"/>
  <c r="D72" i="1" s="1"/>
  <c r="C65" i="1"/>
  <c r="B65" i="1"/>
  <c r="E65" i="1" s="1"/>
  <c r="G65" i="1" s="1"/>
  <c r="C64" i="1"/>
  <c r="C72" i="1" s="1"/>
  <c r="B64" i="1"/>
  <c r="C63" i="1"/>
  <c r="B63" i="1"/>
  <c r="D59" i="1"/>
  <c r="C59" i="1"/>
  <c r="B59" i="1"/>
  <c r="E59" i="1" s="1"/>
  <c r="G59" i="1" s="1"/>
  <c r="D58" i="1"/>
  <c r="C58" i="1"/>
  <c r="E58" i="1" s="1"/>
  <c r="G58" i="1" s="1"/>
  <c r="D56" i="1"/>
  <c r="D57" i="1" s="1"/>
  <c r="C56" i="1"/>
  <c r="B56" i="1"/>
  <c r="C55" i="1"/>
  <c r="D53" i="1"/>
  <c r="C53" i="1"/>
  <c r="B53" i="1"/>
  <c r="E53" i="1" s="1"/>
  <c r="G53" i="1" s="1"/>
  <c r="E52" i="1"/>
  <c r="G52" i="1" s="1"/>
  <c r="D54" i="1"/>
  <c r="B51" i="1"/>
  <c r="E51" i="1" s="1"/>
  <c r="G51" i="1" s="1"/>
  <c r="B50" i="1"/>
  <c r="B49" i="1"/>
  <c r="E49" i="1" s="1"/>
  <c r="G49" i="1" s="1"/>
  <c r="B48" i="1"/>
  <c r="C47" i="1"/>
  <c r="D45" i="1"/>
  <c r="D46" i="1" s="1"/>
  <c r="C45" i="1"/>
  <c r="C46" i="1" s="1"/>
  <c r="B45" i="1"/>
  <c r="E44" i="1"/>
  <c r="G44" i="1" s="1"/>
  <c r="D41" i="1"/>
  <c r="D42" i="1" s="1"/>
  <c r="D43" i="1" s="1"/>
  <c r="C41" i="1"/>
  <c r="C42" i="1" s="1"/>
  <c r="C43" i="1" s="1"/>
  <c r="B41" i="1"/>
  <c r="E40" i="1"/>
  <c r="G40" i="1" s="1"/>
  <c r="E39" i="1"/>
  <c r="G39" i="1" s="1"/>
  <c r="B37" i="1"/>
  <c r="E37" i="1" s="1"/>
  <c r="G37" i="1" s="1"/>
  <c r="D36" i="1"/>
  <c r="C36" i="1"/>
  <c r="B36" i="1"/>
  <c r="E36" i="1" s="1"/>
  <c r="G36" i="1" s="1"/>
  <c r="D35" i="1"/>
  <c r="E35" i="1" s="1"/>
  <c r="G35" i="1" s="1"/>
  <c r="B34" i="1"/>
  <c r="E34" i="1" s="1"/>
  <c r="G34" i="1" s="1"/>
  <c r="B33" i="1"/>
  <c r="C32" i="1"/>
  <c r="D31" i="1"/>
  <c r="D33" i="1" s="1"/>
  <c r="C31" i="1"/>
  <c r="C30" i="1"/>
  <c r="E30" i="1" s="1"/>
  <c r="G30" i="1" s="1"/>
  <c r="B29" i="1"/>
  <c r="E29" i="1" s="1"/>
  <c r="G29" i="1" s="1"/>
  <c r="C28" i="1"/>
  <c r="B28" i="1"/>
  <c r="C27" i="1"/>
  <c r="E27" i="1" s="1"/>
  <c r="G27" i="1" s="1"/>
  <c r="B26" i="1"/>
  <c r="B20" i="1"/>
  <c r="B19" i="1"/>
  <c r="B17" i="1"/>
  <c r="D16" i="1"/>
  <c r="C16" i="1"/>
  <c r="B16" i="1"/>
  <c r="B38" i="1" s="1"/>
  <c r="B14" i="1"/>
  <c r="D13" i="1"/>
  <c r="C13" i="1"/>
  <c r="B13" i="1"/>
  <c r="E13" i="1" s="1"/>
  <c r="G13" i="1" s="1"/>
  <c r="D12" i="1"/>
  <c r="D15" i="1" s="1"/>
  <c r="C12" i="1"/>
  <c r="B12" i="1"/>
  <c r="C11" i="1"/>
  <c r="E10" i="1"/>
  <c r="G10" i="1" s="1"/>
  <c r="D9" i="1"/>
  <c r="C9" i="1"/>
  <c r="B8" i="1"/>
  <c r="E7" i="1"/>
  <c r="H155" i="2" l="1"/>
  <c r="J154" i="2"/>
  <c r="I154" i="2"/>
  <c r="I153" i="2"/>
  <c r="J153" i="2"/>
  <c r="J152" i="2"/>
  <c r="J155" i="2" s="1"/>
  <c r="I152" i="2"/>
  <c r="G152" i="2"/>
  <c r="L152" i="2"/>
  <c r="L155" i="2" s="1"/>
  <c r="I149" i="2"/>
  <c r="J149" i="2"/>
  <c r="J148" i="2"/>
  <c r="I148" i="2"/>
  <c r="I142" i="2"/>
  <c r="J142" i="2"/>
  <c r="I141" i="2"/>
  <c r="I143" i="2" s="1"/>
  <c r="J141" i="2"/>
  <c r="J138" i="2"/>
  <c r="I138" i="2"/>
  <c r="J136" i="2"/>
  <c r="I136" i="2"/>
  <c r="J145" i="2"/>
  <c r="I145" i="2"/>
  <c r="J140" i="2"/>
  <c r="I140" i="2"/>
  <c r="L140" i="2" s="1"/>
  <c r="G136" i="2"/>
  <c r="L136" i="2"/>
  <c r="J134" i="2"/>
  <c r="L134" i="2" s="1"/>
  <c r="I134" i="2"/>
  <c r="J133" i="2"/>
  <c r="I133" i="2"/>
  <c r="J130" i="2"/>
  <c r="J132" i="2" s="1"/>
  <c r="I130" i="2"/>
  <c r="I132" i="2" s="1"/>
  <c r="H129" i="2"/>
  <c r="J126" i="2"/>
  <c r="I126" i="2"/>
  <c r="J125" i="2"/>
  <c r="I125" i="2"/>
  <c r="J124" i="2"/>
  <c r="I124" i="2"/>
  <c r="J123" i="2"/>
  <c r="I123" i="2"/>
  <c r="I122" i="2"/>
  <c r="J122" i="2"/>
  <c r="J121" i="2"/>
  <c r="I121" i="2"/>
  <c r="I127" i="2"/>
  <c r="I120" i="2" s="1"/>
  <c r="I129" i="2" s="1"/>
  <c r="J127" i="2"/>
  <c r="J120" i="2" s="1"/>
  <c r="J129" i="2" s="1"/>
  <c r="H119" i="2"/>
  <c r="J118" i="2"/>
  <c r="I118" i="2"/>
  <c r="J116" i="2"/>
  <c r="I116" i="2"/>
  <c r="G116" i="2"/>
  <c r="G119" i="2" s="1"/>
  <c r="L116" i="2"/>
  <c r="I113" i="2"/>
  <c r="J113" i="2"/>
  <c r="J111" i="2"/>
  <c r="I111" i="2"/>
  <c r="J106" i="2"/>
  <c r="I106" i="2"/>
  <c r="I105" i="2"/>
  <c r="J105" i="2"/>
  <c r="J114" i="2"/>
  <c r="I114" i="2"/>
  <c r="I112" i="2"/>
  <c r="L112" i="2" s="1"/>
  <c r="J112" i="2"/>
  <c r="J110" i="2"/>
  <c r="L110" i="2" s="1"/>
  <c r="I110" i="2"/>
  <c r="J109" i="2"/>
  <c r="I109" i="2"/>
  <c r="L109" i="2" s="1"/>
  <c r="G105" i="2"/>
  <c r="G115" i="2" s="1"/>
  <c r="L105" i="2"/>
  <c r="J103" i="2"/>
  <c r="J104" i="2" s="1"/>
  <c r="I103" i="2"/>
  <c r="I104" i="2" s="1"/>
  <c r="K101" i="2"/>
  <c r="L97" i="2"/>
  <c r="L101" i="2" s="1"/>
  <c r="R18" i="2" s="1"/>
  <c r="J100" i="2"/>
  <c r="I100" i="2"/>
  <c r="J99" i="2"/>
  <c r="I99" i="2"/>
  <c r="I97" i="2"/>
  <c r="J97" i="2"/>
  <c r="H90" i="2"/>
  <c r="K86" i="2"/>
  <c r="K95" i="2" s="1"/>
  <c r="L86" i="2"/>
  <c r="H86" i="2"/>
  <c r="J85" i="2"/>
  <c r="I85" i="2"/>
  <c r="J82" i="2"/>
  <c r="I82" i="2"/>
  <c r="J81" i="2"/>
  <c r="I81" i="2"/>
  <c r="J77" i="2"/>
  <c r="I77" i="2"/>
  <c r="J83" i="2"/>
  <c r="I83" i="2"/>
  <c r="J75" i="2"/>
  <c r="I75" i="2"/>
  <c r="J71" i="2"/>
  <c r="I71" i="2"/>
  <c r="J66" i="2"/>
  <c r="I66" i="2"/>
  <c r="J64" i="2"/>
  <c r="I64" i="2"/>
  <c r="J63" i="2"/>
  <c r="I63" i="2"/>
  <c r="J68" i="2"/>
  <c r="I68" i="2"/>
  <c r="J55" i="2"/>
  <c r="I55" i="2"/>
  <c r="J52" i="2"/>
  <c r="I52" i="2"/>
  <c r="J51" i="2"/>
  <c r="I51" i="2"/>
  <c r="I48" i="2"/>
  <c r="J48" i="2"/>
  <c r="G52" i="2"/>
  <c r="L52" i="2"/>
  <c r="I50" i="2"/>
  <c r="J50" i="2"/>
  <c r="L50" i="2" s="1"/>
  <c r="J39" i="2"/>
  <c r="I39" i="2"/>
  <c r="G39" i="2"/>
  <c r="L39" i="2"/>
  <c r="L43" i="2" s="1"/>
  <c r="J37" i="2"/>
  <c r="I37" i="2"/>
  <c r="J30" i="2"/>
  <c r="I30" i="2"/>
  <c r="I28" i="2"/>
  <c r="J28" i="2"/>
  <c r="J27" i="2"/>
  <c r="I27" i="2"/>
  <c r="J19" i="2"/>
  <c r="I19" i="2"/>
  <c r="J18" i="2"/>
  <c r="I18" i="2"/>
  <c r="J17" i="2"/>
  <c r="I17" i="2"/>
  <c r="J14" i="2"/>
  <c r="I14" i="2"/>
  <c r="J11" i="2"/>
  <c r="I11" i="2"/>
  <c r="J10" i="2"/>
  <c r="I10" i="2"/>
  <c r="I13" i="2"/>
  <c r="J13" i="2"/>
  <c r="G10" i="2"/>
  <c r="L10" i="2"/>
  <c r="K156" i="4"/>
  <c r="F156" i="4"/>
  <c r="E156" i="4"/>
  <c r="G156" i="4" s="1"/>
  <c r="H156" i="4"/>
  <c r="I154" i="4"/>
  <c r="J154" i="4"/>
  <c r="E154" i="4"/>
  <c r="G154" i="4" s="1"/>
  <c r="B155" i="4"/>
  <c r="J153" i="4"/>
  <c r="I153" i="4"/>
  <c r="E153" i="4"/>
  <c r="G153" i="4" s="1"/>
  <c r="H153" i="4"/>
  <c r="H155" i="4" s="1"/>
  <c r="C155" i="4"/>
  <c r="J152" i="4"/>
  <c r="J155" i="4" s="1"/>
  <c r="I152" i="4"/>
  <c r="I155" i="4" s="1"/>
  <c r="G152" i="4"/>
  <c r="G155" i="4" s="1"/>
  <c r="L152" i="4"/>
  <c r="L155" i="4" s="1"/>
  <c r="J149" i="4"/>
  <c r="I149" i="4"/>
  <c r="E149" i="4"/>
  <c r="G149" i="4" s="1"/>
  <c r="H149" i="4"/>
  <c r="I148" i="4"/>
  <c r="J148" i="4"/>
  <c r="F147" i="4"/>
  <c r="H147" i="4"/>
  <c r="K145" i="4"/>
  <c r="F145" i="4"/>
  <c r="H145" i="4"/>
  <c r="E145" i="4"/>
  <c r="G145" i="4" s="1"/>
  <c r="I142" i="4"/>
  <c r="J142" i="4"/>
  <c r="E142" i="4"/>
  <c r="G142" i="4" s="1"/>
  <c r="H142" i="4"/>
  <c r="J141" i="4"/>
  <c r="J143" i="4" s="1"/>
  <c r="I141" i="4"/>
  <c r="I143" i="4" s="1"/>
  <c r="H141" i="4"/>
  <c r="H143" i="4" s="1"/>
  <c r="E141" i="4"/>
  <c r="G141" i="4" s="1"/>
  <c r="G143" i="4" s="1"/>
  <c r="C143" i="4"/>
  <c r="H140" i="4"/>
  <c r="F140" i="4"/>
  <c r="I140" i="4" s="1"/>
  <c r="L140" i="4" s="1"/>
  <c r="K140" i="4"/>
  <c r="J140" i="4"/>
  <c r="K139" i="4"/>
  <c r="H139" i="4"/>
  <c r="F139" i="4"/>
  <c r="J138" i="4"/>
  <c r="I138" i="4"/>
  <c r="K137" i="4"/>
  <c r="K150" i="4" s="1"/>
  <c r="F137" i="4"/>
  <c r="D150" i="4"/>
  <c r="D151" i="4" s="1"/>
  <c r="H137" i="4"/>
  <c r="H150" i="4" s="1"/>
  <c r="E137" i="4"/>
  <c r="G137" i="4" s="1"/>
  <c r="B150" i="4"/>
  <c r="B151" i="4" s="1"/>
  <c r="I136" i="4"/>
  <c r="J136" i="4"/>
  <c r="G136" i="4"/>
  <c r="L136" i="4"/>
  <c r="F134" i="4"/>
  <c r="K134" i="4"/>
  <c r="H134" i="4"/>
  <c r="E134" i="4"/>
  <c r="G134" i="4" s="1"/>
  <c r="F133" i="4"/>
  <c r="I133" i="4"/>
  <c r="J133" i="4"/>
  <c r="K133" i="4"/>
  <c r="E133" i="4"/>
  <c r="G133" i="4" s="1"/>
  <c r="H133" i="4"/>
  <c r="D132" i="4"/>
  <c r="F131" i="4"/>
  <c r="J130" i="4"/>
  <c r="J132" i="4" s="1"/>
  <c r="I130" i="4"/>
  <c r="I132" i="4" s="1"/>
  <c r="B132" i="4"/>
  <c r="E132" i="4" s="1"/>
  <c r="H130" i="4"/>
  <c r="H132" i="4" s="1"/>
  <c r="I128" i="4"/>
  <c r="J128" i="4"/>
  <c r="G128" i="4"/>
  <c r="L128" i="4"/>
  <c r="D129" i="4"/>
  <c r="F127" i="4"/>
  <c r="I127" i="4" s="1"/>
  <c r="I120" i="4" s="1"/>
  <c r="I129" i="4" s="1"/>
  <c r="K127" i="4"/>
  <c r="K120" i="4" s="1"/>
  <c r="K129" i="4" s="1"/>
  <c r="L127" i="4"/>
  <c r="J127" i="4"/>
  <c r="J120" i="4" s="1"/>
  <c r="E127" i="4"/>
  <c r="G127" i="4" s="1"/>
  <c r="H127" i="4"/>
  <c r="J126" i="4"/>
  <c r="I126" i="4"/>
  <c r="H126" i="4"/>
  <c r="E126" i="4"/>
  <c r="G126" i="4" s="1"/>
  <c r="J125" i="4"/>
  <c r="I125" i="4"/>
  <c r="H125" i="4"/>
  <c r="E125" i="4"/>
  <c r="G125" i="4" s="1"/>
  <c r="B129" i="4"/>
  <c r="E129" i="4" s="1"/>
  <c r="E124" i="4"/>
  <c r="G124" i="4" s="1"/>
  <c r="H124" i="4"/>
  <c r="I123" i="4"/>
  <c r="J123" i="4"/>
  <c r="E123" i="4"/>
  <c r="G123" i="4" s="1"/>
  <c r="H123" i="4"/>
  <c r="I122" i="4"/>
  <c r="J122" i="4"/>
  <c r="E122" i="4"/>
  <c r="G122" i="4" s="1"/>
  <c r="H122" i="4"/>
  <c r="J121" i="4"/>
  <c r="I121" i="4"/>
  <c r="E121" i="4"/>
  <c r="G121" i="4" s="1"/>
  <c r="H121" i="4"/>
  <c r="F120" i="4"/>
  <c r="L120" i="4"/>
  <c r="E120" i="4"/>
  <c r="G120" i="4" s="1"/>
  <c r="H120" i="4"/>
  <c r="I118" i="4"/>
  <c r="J118" i="4"/>
  <c r="C119" i="4"/>
  <c r="E118" i="4"/>
  <c r="G118" i="4" s="1"/>
  <c r="H118" i="4"/>
  <c r="F117" i="4"/>
  <c r="I117" i="4"/>
  <c r="D119" i="4"/>
  <c r="J117" i="4"/>
  <c r="L117" i="4" s="1"/>
  <c r="K117" i="4"/>
  <c r="K119" i="4" s="1"/>
  <c r="H117" i="4"/>
  <c r="H119" i="4" s="1"/>
  <c r="E117" i="4"/>
  <c r="G117" i="4" s="1"/>
  <c r="B119" i="4"/>
  <c r="E119" i="4" s="1"/>
  <c r="J116" i="4"/>
  <c r="J119" i="4" s="1"/>
  <c r="I116" i="4"/>
  <c r="I119" i="4" s="1"/>
  <c r="L116" i="4"/>
  <c r="L119" i="4" s="1"/>
  <c r="R27" i="4" s="1"/>
  <c r="G116" i="4"/>
  <c r="G119" i="4" s="1"/>
  <c r="F114" i="4"/>
  <c r="K114" i="4"/>
  <c r="L114" i="4" s="1"/>
  <c r="J114" i="4"/>
  <c r="I114" i="4"/>
  <c r="E114" i="4"/>
  <c r="G114" i="4" s="1"/>
  <c r="H114" i="4"/>
  <c r="J113" i="4"/>
  <c r="I113" i="4"/>
  <c r="H113" i="4"/>
  <c r="E113" i="4"/>
  <c r="G113" i="4" s="1"/>
  <c r="K112" i="4"/>
  <c r="F112" i="4"/>
  <c r="H112" i="4"/>
  <c r="E112" i="4"/>
  <c r="G112" i="4" s="1"/>
  <c r="J111" i="4"/>
  <c r="I111" i="4"/>
  <c r="E111" i="4"/>
  <c r="G111" i="4" s="1"/>
  <c r="H111" i="4"/>
  <c r="K110" i="4"/>
  <c r="F110" i="4"/>
  <c r="E110" i="4"/>
  <c r="G110" i="4" s="1"/>
  <c r="H110" i="4"/>
  <c r="F109" i="4"/>
  <c r="J109" i="4"/>
  <c r="H109" i="4"/>
  <c r="I109" i="4"/>
  <c r="L109" i="4" s="1"/>
  <c r="K109" i="4"/>
  <c r="F107" i="4"/>
  <c r="I107" i="4"/>
  <c r="J107" i="4"/>
  <c r="L107" i="4" s="1"/>
  <c r="K107" i="4"/>
  <c r="K115" i="4" s="1"/>
  <c r="D115" i="4"/>
  <c r="E107" i="4"/>
  <c r="G107" i="4" s="1"/>
  <c r="H107" i="4"/>
  <c r="H115" i="4" s="1"/>
  <c r="I106" i="4"/>
  <c r="J106" i="4"/>
  <c r="E106" i="4"/>
  <c r="G106" i="4" s="1"/>
  <c r="B115" i="4"/>
  <c r="E115" i="4" s="1"/>
  <c r="I105" i="4"/>
  <c r="J105" i="4"/>
  <c r="G105" i="4"/>
  <c r="G115" i="4" s="1"/>
  <c r="L105" i="4"/>
  <c r="J103" i="4"/>
  <c r="J104" i="4" s="1"/>
  <c r="I103" i="4"/>
  <c r="I104" i="4" s="1"/>
  <c r="F102" i="4"/>
  <c r="D104" i="4"/>
  <c r="E102" i="4"/>
  <c r="G102" i="4" s="1"/>
  <c r="G104" i="4" s="1"/>
  <c r="B104" i="4"/>
  <c r="E104" i="4" s="1"/>
  <c r="F100" i="4"/>
  <c r="I100" i="4"/>
  <c r="J100" i="4"/>
  <c r="K100" i="4"/>
  <c r="E100" i="4"/>
  <c r="G100" i="4" s="1"/>
  <c r="H100" i="4"/>
  <c r="K99" i="4"/>
  <c r="F99" i="4"/>
  <c r="E99" i="4"/>
  <c r="G99" i="4" s="1"/>
  <c r="H99" i="4"/>
  <c r="K97" i="4"/>
  <c r="L97" i="4" s="1"/>
  <c r="L101" i="4" s="1"/>
  <c r="R18" i="4" s="1"/>
  <c r="F97" i="4"/>
  <c r="H97" i="4"/>
  <c r="E97" i="4"/>
  <c r="G97" i="4" s="1"/>
  <c r="D101" i="4"/>
  <c r="F96" i="4"/>
  <c r="J96" i="4" s="1"/>
  <c r="I96" i="4"/>
  <c r="K96" i="4"/>
  <c r="K101" i="4" s="1"/>
  <c r="B101" i="4"/>
  <c r="E101" i="4" s="1"/>
  <c r="H96" i="4"/>
  <c r="H101" i="4" s="1"/>
  <c r="E96" i="4"/>
  <c r="G96" i="4" s="1"/>
  <c r="G101" i="4" s="1"/>
  <c r="K94" i="4"/>
  <c r="F94" i="4"/>
  <c r="H94" i="4"/>
  <c r="E94" i="4"/>
  <c r="G94" i="4" s="1"/>
  <c r="K93" i="4"/>
  <c r="F93" i="4"/>
  <c r="H93" i="4"/>
  <c r="E93" i="4"/>
  <c r="G93" i="4" s="1"/>
  <c r="F92" i="4"/>
  <c r="D95" i="4"/>
  <c r="I92" i="4"/>
  <c r="L92" i="4" s="1"/>
  <c r="J92" i="4"/>
  <c r="K92" i="4"/>
  <c r="I89" i="4"/>
  <c r="J89" i="4"/>
  <c r="I88" i="4"/>
  <c r="J88" i="4"/>
  <c r="H88" i="4"/>
  <c r="H90" i="4" s="1"/>
  <c r="B90" i="4"/>
  <c r="E90" i="4" s="1"/>
  <c r="I87" i="4"/>
  <c r="I90" i="4" s="1"/>
  <c r="J87" i="4"/>
  <c r="J90" i="4" s="1"/>
  <c r="L87" i="4"/>
  <c r="L90" i="4" s="1"/>
  <c r="G87" i="4"/>
  <c r="G90" i="4" s="1"/>
  <c r="J85" i="4"/>
  <c r="I85" i="4"/>
  <c r="B86" i="4"/>
  <c r="H84" i="4"/>
  <c r="H86" i="4" s="1"/>
  <c r="F84" i="4"/>
  <c r="E84" i="4"/>
  <c r="G84" i="4" s="1"/>
  <c r="G86" i="4" s="1"/>
  <c r="F83" i="4"/>
  <c r="L83" i="4"/>
  <c r="K83" i="4"/>
  <c r="J82" i="4"/>
  <c r="I82" i="4"/>
  <c r="H82" i="4"/>
  <c r="E82" i="4"/>
  <c r="G82" i="4" s="1"/>
  <c r="J81" i="4"/>
  <c r="I81" i="4"/>
  <c r="H81" i="4"/>
  <c r="E81" i="4"/>
  <c r="G81" i="4" s="1"/>
  <c r="L80" i="4"/>
  <c r="G80" i="4"/>
  <c r="E79" i="4"/>
  <c r="H79" i="4"/>
  <c r="F79" i="4"/>
  <c r="K79" i="4"/>
  <c r="K95" i="4" s="1"/>
  <c r="H78" i="4"/>
  <c r="H95" i="4" s="1"/>
  <c r="E78" i="4"/>
  <c r="G78" i="4" s="1"/>
  <c r="I77" i="4"/>
  <c r="J77" i="4"/>
  <c r="E77" i="4"/>
  <c r="G77" i="4" s="1"/>
  <c r="H77" i="4"/>
  <c r="I75" i="4"/>
  <c r="J75" i="4"/>
  <c r="E75" i="4"/>
  <c r="H75" i="4"/>
  <c r="F74" i="4"/>
  <c r="K74" i="4"/>
  <c r="K76" i="4" s="1"/>
  <c r="H74" i="4"/>
  <c r="H76" i="4" s="1"/>
  <c r="E74" i="4"/>
  <c r="G74" i="4" s="1"/>
  <c r="G76" i="4" s="1"/>
  <c r="F73" i="4"/>
  <c r="D76" i="4"/>
  <c r="F76" i="4" s="1"/>
  <c r="B76" i="4"/>
  <c r="E73" i="4"/>
  <c r="I71" i="4"/>
  <c r="J71" i="4"/>
  <c r="E71" i="4"/>
  <c r="H71" i="4"/>
  <c r="J69" i="4"/>
  <c r="I69" i="4"/>
  <c r="E69" i="4"/>
  <c r="G69" i="4" s="1"/>
  <c r="K69" i="4"/>
  <c r="F68" i="4"/>
  <c r="I68" i="4"/>
  <c r="J68" i="4"/>
  <c r="K68" i="4"/>
  <c r="J66" i="4"/>
  <c r="I66" i="4"/>
  <c r="D72" i="4"/>
  <c r="F65" i="4"/>
  <c r="J65" i="4"/>
  <c r="L65" i="4" s="1"/>
  <c r="K65" i="4"/>
  <c r="K72" i="4" s="1"/>
  <c r="I65" i="4"/>
  <c r="J64" i="4"/>
  <c r="I64" i="4"/>
  <c r="B72" i="4"/>
  <c r="E72" i="4" s="1"/>
  <c r="H64" i="4"/>
  <c r="E64" i="4"/>
  <c r="J63" i="4"/>
  <c r="I63" i="4"/>
  <c r="E63" i="4"/>
  <c r="G63" i="4" s="1"/>
  <c r="H63" i="4"/>
  <c r="J62" i="4"/>
  <c r="I62" i="4"/>
  <c r="F58" i="4"/>
  <c r="I58" i="4" s="1"/>
  <c r="J58" i="4"/>
  <c r="D57" i="4"/>
  <c r="F56" i="4"/>
  <c r="K56" i="4"/>
  <c r="B57" i="4"/>
  <c r="E56" i="4"/>
  <c r="G56" i="4" s="1"/>
  <c r="H56" i="4"/>
  <c r="J55" i="4"/>
  <c r="I55" i="4"/>
  <c r="C57" i="4"/>
  <c r="E55" i="4"/>
  <c r="H55" i="4"/>
  <c r="J52" i="4"/>
  <c r="I52" i="4"/>
  <c r="G52" i="4"/>
  <c r="L52" i="4"/>
  <c r="I51" i="4"/>
  <c r="J51" i="4"/>
  <c r="H51" i="4"/>
  <c r="E51" i="4"/>
  <c r="G51" i="4" s="1"/>
  <c r="F50" i="4"/>
  <c r="J50" i="4" s="1"/>
  <c r="L50" i="4" s="1"/>
  <c r="L54" i="4" s="1"/>
  <c r="O19" i="4" s="1"/>
  <c r="K50" i="4"/>
  <c r="I50" i="4"/>
  <c r="E50" i="4"/>
  <c r="G50" i="4" s="1"/>
  <c r="H50" i="4"/>
  <c r="K49" i="4"/>
  <c r="D54" i="4"/>
  <c r="F49" i="4"/>
  <c r="I49" i="4" s="1"/>
  <c r="J49" i="4"/>
  <c r="L49" i="4" s="1"/>
  <c r="H49" i="4"/>
  <c r="E49" i="4"/>
  <c r="G49" i="4" s="1"/>
  <c r="J48" i="4"/>
  <c r="I48" i="4"/>
  <c r="B54" i="4"/>
  <c r="H48" i="4"/>
  <c r="E48" i="4"/>
  <c r="G48" i="4" s="1"/>
  <c r="J47" i="4"/>
  <c r="I47" i="4"/>
  <c r="E47" i="4"/>
  <c r="G47" i="4" s="1"/>
  <c r="C54" i="4"/>
  <c r="H47" i="4"/>
  <c r="D46" i="4"/>
  <c r="K45" i="4"/>
  <c r="F45" i="4"/>
  <c r="E45" i="4"/>
  <c r="G45" i="4" s="1"/>
  <c r="B46" i="4"/>
  <c r="H45" i="4"/>
  <c r="I44" i="4"/>
  <c r="J44" i="4"/>
  <c r="L44" i="4"/>
  <c r="G44" i="4"/>
  <c r="D42" i="4"/>
  <c r="F41" i="4"/>
  <c r="E41" i="4"/>
  <c r="G41" i="4" s="1"/>
  <c r="B42" i="4"/>
  <c r="H41" i="4"/>
  <c r="I39" i="4"/>
  <c r="J39" i="4"/>
  <c r="G39" i="4"/>
  <c r="L39" i="4"/>
  <c r="L43" i="4" s="1"/>
  <c r="J37" i="4"/>
  <c r="I37" i="4"/>
  <c r="E37" i="4"/>
  <c r="G37" i="4" s="1"/>
  <c r="H37" i="4"/>
  <c r="K36" i="4"/>
  <c r="J36" i="4"/>
  <c r="I36" i="4"/>
  <c r="L36" i="4"/>
  <c r="E36" i="4"/>
  <c r="G36" i="4" s="1"/>
  <c r="H36" i="4"/>
  <c r="K35" i="4"/>
  <c r="E35" i="4"/>
  <c r="G35" i="4" s="1"/>
  <c r="H35" i="4"/>
  <c r="F35" i="4"/>
  <c r="J35" i="4" s="1"/>
  <c r="L35" i="4" s="1"/>
  <c r="I35" i="4"/>
  <c r="I34" i="4"/>
  <c r="J34" i="4"/>
  <c r="H34" i="4"/>
  <c r="E34" i="4"/>
  <c r="G34" i="4" s="1"/>
  <c r="F33" i="4"/>
  <c r="J33" i="4"/>
  <c r="I33" i="4"/>
  <c r="K33" i="4"/>
  <c r="I32" i="4"/>
  <c r="J32" i="4"/>
  <c r="I31" i="4"/>
  <c r="J31" i="4"/>
  <c r="J30" i="4"/>
  <c r="I30" i="4"/>
  <c r="H30" i="4"/>
  <c r="E30" i="4"/>
  <c r="G30" i="4" s="1"/>
  <c r="J29" i="4"/>
  <c r="I29" i="4"/>
  <c r="L29" i="4"/>
  <c r="G29" i="4"/>
  <c r="I28" i="4"/>
  <c r="J28" i="4"/>
  <c r="E28" i="4"/>
  <c r="G28" i="4" s="1"/>
  <c r="H28" i="4"/>
  <c r="J27" i="4"/>
  <c r="I27" i="4"/>
  <c r="E27" i="4"/>
  <c r="G27" i="4" s="1"/>
  <c r="H27" i="4"/>
  <c r="I26" i="4"/>
  <c r="J26" i="4"/>
  <c r="J25" i="4"/>
  <c r="I25" i="4"/>
  <c r="J24" i="4"/>
  <c r="I24" i="4"/>
  <c r="I23" i="4"/>
  <c r="J23" i="4"/>
  <c r="I22" i="4"/>
  <c r="J22" i="4"/>
  <c r="I21" i="4"/>
  <c r="J21" i="4"/>
  <c r="I20" i="4"/>
  <c r="J20" i="4"/>
  <c r="F19" i="4"/>
  <c r="J19" i="4" s="1"/>
  <c r="I19" i="4"/>
  <c r="K19" i="4"/>
  <c r="E19" i="4"/>
  <c r="G19" i="4" s="1"/>
  <c r="H19" i="4"/>
  <c r="K18" i="4"/>
  <c r="F18" i="4"/>
  <c r="I18" i="4" s="1"/>
  <c r="J18" i="4"/>
  <c r="E18" i="4"/>
  <c r="G18" i="4" s="1"/>
  <c r="H18" i="4"/>
  <c r="K17" i="4"/>
  <c r="L17" i="4" s="1"/>
  <c r="F17" i="4"/>
  <c r="E17" i="4"/>
  <c r="G17" i="4" s="1"/>
  <c r="H17" i="4"/>
  <c r="F16" i="4"/>
  <c r="D38" i="4"/>
  <c r="E16" i="4"/>
  <c r="G16" i="4" s="1"/>
  <c r="H16" i="4"/>
  <c r="B38" i="4"/>
  <c r="J14" i="4"/>
  <c r="I14" i="4"/>
  <c r="F13" i="4"/>
  <c r="J13" i="4" s="1"/>
  <c r="K13" i="4"/>
  <c r="I13" i="4"/>
  <c r="E13" i="4"/>
  <c r="G13" i="4" s="1"/>
  <c r="H13" i="4"/>
  <c r="F12" i="4"/>
  <c r="D15" i="4"/>
  <c r="K12" i="4"/>
  <c r="B15" i="4"/>
  <c r="H12" i="4"/>
  <c r="E12" i="4"/>
  <c r="G12" i="4" s="1"/>
  <c r="J11" i="4"/>
  <c r="I11" i="4"/>
  <c r="H11" i="4"/>
  <c r="C15" i="4"/>
  <c r="E11" i="4"/>
  <c r="G11" i="4" s="1"/>
  <c r="J10" i="4"/>
  <c r="I10" i="4"/>
  <c r="L10" i="4"/>
  <c r="G10" i="4"/>
  <c r="F9" i="4"/>
  <c r="K9" i="4"/>
  <c r="I9" i="4"/>
  <c r="J9" i="4"/>
  <c r="E33" i="4"/>
  <c r="C38" i="4"/>
  <c r="K80" i="2"/>
  <c r="J80" i="2"/>
  <c r="I80" i="2"/>
  <c r="H80" i="2"/>
  <c r="E74" i="2"/>
  <c r="G74" i="2" s="1"/>
  <c r="G76" i="2" s="1"/>
  <c r="K74" i="2"/>
  <c r="K76" i="2" s="1"/>
  <c r="F74" i="2"/>
  <c r="K12" i="2"/>
  <c r="H12" i="2"/>
  <c r="J89" i="2"/>
  <c r="I89" i="2"/>
  <c r="J88" i="2"/>
  <c r="I88" i="2"/>
  <c r="J87" i="2"/>
  <c r="J90" i="2" s="1"/>
  <c r="I87" i="2"/>
  <c r="G87" i="2"/>
  <c r="G90" i="2" s="1"/>
  <c r="L87" i="2"/>
  <c r="L90" i="2" s="1"/>
  <c r="I47" i="2"/>
  <c r="J47" i="2"/>
  <c r="J44" i="2"/>
  <c r="I44" i="2"/>
  <c r="G44" i="2"/>
  <c r="L44" i="2"/>
  <c r="J34" i="2"/>
  <c r="I34" i="2"/>
  <c r="J32" i="2"/>
  <c r="I32" i="2"/>
  <c r="G29" i="2"/>
  <c r="L29" i="2"/>
  <c r="J26" i="2"/>
  <c r="I26" i="2"/>
  <c r="J25" i="2"/>
  <c r="I25" i="2"/>
  <c r="J24" i="2"/>
  <c r="I24" i="2"/>
  <c r="J23" i="2"/>
  <c r="I23" i="2"/>
  <c r="J22" i="2"/>
  <c r="I22" i="2"/>
  <c r="J21" i="2"/>
  <c r="I21" i="2"/>
  <c r="J20" i="2"/>
  <c r="I20" i="2"/>
  <c r="L150" i="2"/>
  <c r="L151" i="2" s="1"/>
  <c r="R30" i="2" s="1"/>
  <c r="J139" i="2"/>
  <c r="I139" i="2"/>
  <c r="I137" i="2"/>
  <c r="J137" i="2"/>
  <c r="J29" i="2"/>
  <c r="I29" i="2"/>
  <c r="D150" i="2"/>
  <c r="C95" i="2"/>
  <c r="E156" i="2"/>
  <c r="G156" i="2" s="1"/>
  <c r="F156" i="2"/>
  <c r="H156" i="2"/>
  <c r="E149" i="2"/>
  <c r="G149" i="2" s="1"/>
  <c r="H149" i="2"/>
  <c r="E148" i="2"/>
  <c r="G148" i="2" s="1"/>
  <c r="E147" i="2"/>
  <c r="G147" i="2" s="1"/>
  <c r="E146" i="2"/>
  <c r="E145" i="2"/>
  <c r="G145" i="2" s="1"/>
  <c r="H145" i="2"/>
  <c r="E142" i="2"/>
  <c r="G142" i="2" s="1"/>
  <c r="H142" i="2"/>
  <c r="H143" i="2" s="1"/>
  <c r="H150" i="2" s="1"/>
  <c r="H151" i="2" s="1"/>
  <c r="E140" i="2"/>
  <c r="G140" i="2" s="1"/>
  <c r="D132" i="2"/>
  <c r="F131" i="2"/>
  <c r="D129" i="2"/>
  <c r="F120" i="2"/>
  <c r="D119" i="2"/>
  <c r="F117" i="2"/>
  <c r="D115" i="2"/>
  <c r="F107" i="2"/>
  <c r="D104" i="2"/>
  <c r="F102" i="2"/>
  <c r="D101" i="2"/>
  <c r="F96" i="2"/>
  <c r="D86" i="2"/>
  <c r="D95" i="2" s="1"/>
  <c r="F84" i="2"/>
  <c r="E80" i="2"/>
  <c r="E79" i="2"/>
  <c r="F79" i="2"/>
  <c r="D76" i="2"/>
  <c r="F73" i="2"/>
  <c r="E69" i="2"/>
  <c r="G69" i="2" s="1"/>
  <c r="D72" i="2"/>
  <c r="F65" i="2"/>
  <c r="D57" i="2"/>
  <c r="F56" i="2"/>
  <c r="D54" i="2"/>
  <c r="F49" i="2"/>
  <c r="D46" i="2"/>
  <c r="F45" i="2"/>
  <c r="D42" i="2"/>
  <c r="F41" i="2"/>
  <c r="E35" i="2"/>
  <c r="G35" i="2" s="1"/>
  <c r="F35" i="2"/>
  <c r="D33" i="2"/>
  <c r="F31" i="2"/>
  <c r="D38" i="2"/>
  <c r="F16" i="2"/>
  <c r="D15" i="2"/>
  <c r="K15" i="2" s="1"/>
  <c r="F12" i="2"/>
  <c r="F9" i="2"/>
  <c r="B155" i="2"/>
  <c r="E154" i="2"/>
  <c r="G154" i="2" s="1"/>
  <c r="C155" i="2"/>
  <c r="E153" i="2"/>
  <c r="G153" i="2" s="1"/>
  <c r="G155" i="2" s="1"/>
  <c r="C143" i="2"/>
  <c r="E141" i="2"/>
  <c r="G141" i="2" s="1"/>
  <c r="G143" i="2" s="1"/>
  <c r="G150" i="2" s="1"/>
  <c r="G151" i="2" s="1"/>
  <c r="B150" i="2"/>
  <c r="E137" i="2"/>
  <c r="G137" i="2" s="1"/>
  <c r="E134" i="2"/>
  <c r="G134" i="2" s="1"/>
  <c r="E133" i="2"/>
  <c r="G133" i="2" s="1"/>
  <c r="B132" i="2"/>
  <c r="G130" i="2"/>
  <c r="G132" i="2" s="1"/>
  <c r="B129" i="2"/>
  <c r="E120" i="2"/>
  <c r="G120" i="2" s="1"/>
  <c r="G129" i="2" s="1"/>
  <c r="C119" i="2"/>
  <c r="E118" i="2"/>
  <c r="G118" i="2" s="1"/>
  <c r="B119" i="2"/>
  <c r="E117" i="2"/>
  <c r="G117" i="2" s="1"/>
  <c r="B115" i="2"/>
  <c r="E106" i="2"/>
  <c r="G106" i="2" s="1"/>
  <c r="E102" i="2"/>
  <c r="G102" i="2" s="1"/>
  <c r="G104" i="2" s="1"/>
  <c r="B104" i="2"/>
  <c r="E96" i="2"/>
  <c r="G96" i="2" s="1"/>
  <c r="G101" i="2" s="1"/>
  <c r="B101" i="2"/>
  <c r="B86" i="2"/>
  <c r="E84" i="2"/>
  <c r="G84" i="2" s="1"/>
  <c r="G86" i="2" s="1"/>
  <c r="B76" i="2"/>
  <c r="E73" i="2"/>
  <c r="B72" i="2"/>
  <c r="E64" i="2"/>
  <c r="E63" i="2"/>
  <c r="G63" i="2" s="1"/>
  <c r="E56" i="2"/>
  <c r="G56" i="2" s="1"/>
  <c r="B57" i="2"/>
  <c r="C57" i="2"/>
  <c r="E55" i="2"/>
  <c r="B54" i="2"/>
  <c r="E48" i="2"/>
  <c r="G48" i="2" s="1"/>
  <c r="E47" i="2"/>
  <c r="G47" i="2" s="1"/>
  <c r="C54" i="2"/>
  <c r="E45" i="2"/>
  <c r="G45" i="2" s="1"/>
  <c r="B46" i="2"/>
  <c r="E41" i="2"/>
  <c r="G41" i="2" s="1"/>
  <c r="E16" i="2"/>
  <c r="G16" i="2" s="1"/>
  <c r="B38" i="2"/>
  <c r="B15" i="2"/>
  <c r="E12" i="2"/>
  <c r="G12" i="2" s="1"/>
  <c r="C15" i="2"/>
  <c r="E11" i="2"/>
  <c r="G11" i="2" s="1"/>
  <c r="G9" i="2"/>
  <c r="E33" i="2"/>
  <c r="E67" i="1"/>
  <c r="G67" i="1" s="1"/>
  <c r="C129" i="1"/>
  <c r="E28" i="1"/>
  <c r="G28" i="1" s="1"/>
  <c r="E50" i="1"/>
  <c r="G50" i="1" s="1"/>
  <c r="E114" i="1"/>
  <c r="G114" i="1" s="1"/>
  <c r="D95" i="1"/>
  <c r="E17" i="1"/>
  <c r="G17" i="1" s="1"/>
  <c r="D38" i="1"/>
  <c r="D60" i="1" s="1"/>
  <c r="D61" i="1" s="1"/>
  <c r="D76" i="1"/>
  <c r="C76" i="1"/>
  <c r="E19" i="1"/>
  <c r="G19" i="1" s="1"/>
  <c r="E18" i="1"/>
  <c r="G18" i="1" s="1"/>
  <c r="D115" i="1"/>
  <c r="C115" i="1"/>
  <c r="C57" i="1"/>
  <c r="E55" i="1"/>
  <c r="G55" i="1" s="1"/>
  <c r="E154" i="1"/>
  <c r="G154" i="1" s="1"/>
  <c r="B155" i="1"/>
  <c r="C155" i="1"/>
  <c r="E153" i="1"/>
  <c r="G153" i="1" s="1"/>
  <c r="C143" i="1"/>
  <c r="E141" i="1"/>
  <c r="G141" i="1" s="1"/>
  <c r="B150" i="1"/>
  <c r="E137" i="1"/>
  <c r="G137" i="1" s="1"/>
  <c r="E134" i="1"/>
  <c r="G134" i="1" s="1"/>
  <c r="B151" i="1"/>
  <c r="E133" i="1"/>
  <c r="G133" i="1" s="1"/>
  <c r="E130" i="1"/>
  <c r="G130" i="1" s="1"/>
  <c r="B132" i="1"/>
  <c r="E132" i="1" s="1"/>
  <c r="G132" i="1" s="1"/>
  <c r="B129" i="1"/>
  <c r="E129" i="1" s="1"/>
  <c r="G129" i="1" s="1"/>
  <c r="E120" i="1"/>
  <c r="G120" i="1" s="1"/>
  <c r="C119" i="1"/>
  <c r="E118" i="1"/>
  <c r="G118" i="1" s="1"/>
  <c r="B119" i="1"/>
  <c r="E119" i="1" s="1"/>
  <c r="G119" i="1" s="1"/>
  <c r="E117" i="1"/>
  <c r="G117" i="1" s="1"/>
  <c r="E106" i="1"/>
  <c r="G106" i="1" s="1"/>
  <c r="B115" i="1"/>
  <c r="B104" i="1"/>
  <c r="E104" i="1" s="1"/>
  <c r="G104" i="1" s="1"/>
  <c r="E102" i="1"/>
  <c r="G102" i="1" s="1"/>
  <c r="B101" i="1"/>
  <c r="E101" i="1" s="1"/>
  <c r="G101" i="1" s="1"/>
  <c r="E96" i="1"/>
  <c r="G96" i="1" s="1"/>
  <c r="B90" i="1"/>
  <c r="E84" i="1"/>
  <c r="G84" i="1" s="1"/>
  <c r="B86" i="1"/>
  <c r="E86" i="1" s="1"/>
  <c r="G86" i="1" s="1"/>
  <c r="E78" i="1"/>
  <c r="G78" i="1" s="1"/>
  <c r="B76" i="1"/>
  <c r="E73" i="1"/>
  <c r="G73" i="1" s="1"/>
  <c r="E64" i="1"/>
  <c r="G64" i="1" s="1"/>
  <c r="B72" i="1"/>
  <c r="E72" i="1" s="1"/>
  <c r="G72" i="1" s="1"/>
  <c r="E63" i="1"/>
  <c r="G63" i="1" s="1"/>
  <c r="B57" i="1"/>
  <c r="E56" i="1"/>
  <c r="G56" i="1" s="1"/>
  <c r="E48" i="1"/>
  <c r="G48" i="1" s="1"/>
  <c r="B54" i="1"/>
  <c r="C54" i="1"/>
  <c r="E47" i="1"/>
  <c r="G47" i="1" s="1"/>
  <c r="B46" i="1"/>
  <c r="E46" i="1" s="1"/>
  <c r="G46" i="1" s="1"/>
  <c r="E45" i="1"/>
  <c r="G45" i="1" s="1"/>
  <c r="E41" i="1"/>
  <c r="G41" i="1" s="1"/>
  <c r="B42" i="1"/>
  <c r="C33" i="1"/>
  <c r="E16" i="1"/>
  <c r="G16" i="1" s="1"/>
  <c r="B15" i="1"/>
  <c r="E12" i="1"/>
  <c r="G12" i="1" s="1"/>
  <c r="E11" i="1"/>
  <c r="G11" i="1" s="1"/>
  <c r="C15" i="1"/>
  <c r="B9" i="1"/>
  <c r="I155" i="2" l="1"/>
  <c r="J143" i="2"/>
  <c r="J150" i="2" s="1"/>
  <c r="J151" i="2" s="1"/>
  <c r="J117" i="2"/>
  <c r="I117" i="2"/>
  <c r="I119" i="2" s="1"/>
  <c r="J107" i="2"/>
  <c r="I107" i="2"/>
  <c r="I115" i="2" s="1"/>
  <c r="J96" i="2"/>
  <c r="J101" i="2" s="1"/>
  <c r="I96" i="2"/>
  <c r="I101" i="2" s="1"/>
  <c r="H95" i="2"/>
  <c r="H157" i="2" s="1"/>
  <c r="K157" i="2"/>
  <c r="I90" i="2"/>
  <c r="G79" i="2"/>
  <c r="L79" i="2"/>
  <c r="J79" i="2"/>
  <c r="I79" i="2"/>
  <c r="I65" i="2"/>
  <c r="I72" i="2" s="1"/>
  <c r="J65" i="2"/>
  <c r="G64" i="2"/>
  <c r="G72" i="2" s="1"/>
  <c r="L64" i="2"/>
  <c r="H57" i="2"/>
  <c r="J57" i="2"/>
  <c r="I57" i="2"/>
  <c r="L57" i="2" s="1"/>
  <c r="O27" i="2" s="1"/>
  <c r="K57" i="2"/>
  <c r="J56" i="2"/>
  <c r="I56" i="2"/>
  <c r="G55" i="2"/>
  <c r="L55" i="2"/>
  <c r="J49" i="2"/>
  <c r="L49" i="2" s="1"/>
  <c r="L54" i="2" s="1"/>
  <c r="O19" i="2" s="1"/>
  <c r="I49" i="2"/>
  <c r="J45" i="2"/>
  <c r="I45" i="2"/>
  <c r="L45" i="2" s="1"/>
  <c r="H15" i="2"/>
  <c r="J12" i="4"/>
  <c r="L12" i="4" s="1"/>
  <c r="L15" i="4" s="1"/>
  <c r="O15" i="4" s="1"/>
  <c r="I12" i="4"/>
  <c r="E143" i="4"/>
  <c r="C150" i="4"/>
  <c r="L133" i="4"/>
  <c r="K151" i="4"/>
  <c r="F86" i="4"/>
  <c r="E86" i="4"/>
  <c r="B95" i="4"/>
  <c r="I84" i="4"/>
  <c r="I86" i="4" s="1"/>
  <c r="J84" i="4"/>
  <c r="J86" i="4" s="1"/>
  <c r="G79" i="4"/>
  <c r="G95" i="4" s="1"/>
  <c r="L79" i="4"/>
  <c r="L95" i="4" s="1"/>
  <c r="R17" i="4" s="1"/>
  <c r="F72" i="4"/>
  <c r="D157" i="4"/>
  <c r="L64" i="4"/>
  <c r="L72" i="4" s="1"/>
  <c r="G64" i="4"/>
  <c r="G72" i="4" s="1"/>
  <c r="G157" i="4" s="1"/>
  <c r="F57" i="4"/>
  <c r="I57" i="4"/>
  <c r="L57" i="4" s="1"/>
  <c r="O27" i="4" s="1"/>
  <c r="K57" i="4"/>
  <c r="J57" i="4"/>
  <c r="E57" i="4"/>
  <c r="G57" i="4" s="1"/>
  <c r="H57" i="4"/>
  <c r="G55" i="4"/>
  <c r="L55" i="4"/>
  <c r="F54" i="4"/>
  <c r="I54" i="4"/>
  <c r="J54" i="4"/>
  <c r="K54" i="4"/>
  <c r="E54" i="4"/>
  <c r="G54" i="4" s="1"/>
  <c r="H54" i="4"/>
  <c r="F46" i="4"/>
  <c r="I46" i="4"/>
  <c r="K46" i="4"/>
  <c r="J46" i="4"/>
  <c r="E46" i="4"/>
  <c r="H46" i="4"/>
  <c r="F42" i="4"/>
  <c r="D43" i="4"/>
  <c r="K42" i="4"/>
  <c r="E42" i="4"/>
  <c r="G42" i="4" s="1"/>
  <c r="H42" i="4"/>
  <c r="B43" i="4"/>
  <c r="F38" i="4"/>
  <c r="I38" i="4"/>
  <c r="J38" i="4"/>
  <c r="K38" i="4"/>
  <c r="E38" i="4"/>
  <c r="G38" i="4" s="1"/>
  <c r="H38" i="4"/>
  <c r="F15" i="4"/>
  <c r="K15" i="4"/>
  <c r="B60" i="4"/>
  <c r="E15" i="4"/>
  <c r="G15" i="4" s="1"/>
  <c r="H15" i="4"/>
  <c r="G33" i="4"/>
  <c r="L33" i="4"/>
  <c r="L38" i="4" s="1"/>
  <c r="E155" i="4"/>
  <c r="F150" i="4"/>
  <c r="G150" i="4"/>
  <c r="G151" i="4" s="1"/>
  <c r="L150" i="4"/>
  <c r="H151" i="4"/>
  <c r="F132" i="4"/>
  <c r="F129" i="4"/>
  <c r="J129" i="4"/>
  <c r="F101" i="4"/>
  <c r="L129" i="4"/>
  <c r="R28" i="4" s="1"/>
  <c r="G129" i="4"/>
  <c r="H129" i="4"/>
  <c r="F119" i="4"/>
  <c r="F115" i="4"/>
  <c r="F104" i="4"/>
  <c r="K157" i="4"/>
  <c r="J72" i="4"/>
  <c r="I72" i="4"/>
  <c r="H72" i="4"/>
  <c r="H157" i="4" s="1"/>
  <c r="C60" i="4"/>
  <c r="C61" i="4" s="1"/>
  <c r="J156" i="4"/>
  <c r="I156" i="4"/>
  <c r="J145" i="4"/>
  <c r="I145" i="4"/>
  <c r="I139" i="4"/>
  <c r="J139" i="4"/>
  <c r="I137" i="4"/>
  <c r="I150" i="4" s="1"/>
  <c r="J137" i="4"/>
  <c r="J150" i="4" s="1"/>
  <c r="J134" i="4"/>
  <c r="I134" i="4"/>
  <c r="I151" i="4" s="1"/>
  <c r="J112" i="4"/>
  <c r="I112" i="4"/>
  <c r="L112" i="4" s="1"/>
  <c r="I110" i="4"/>
  <c r="I115" i="4" s="1"/>
  <c r="J110" i="4"/>
  <c r="J99" i="4"/>
  <c r="I99" i="4"/>
  <c r="J97" i="4"/>
  <c r="J101" i="4" s="1"/>
  <c r="I97" i="4"/>
  <c r="I101" i="4" s="1"/>
  <c r="J94" i="4"/>
  <c r="I94" i="4"/>
  <c r="J93" i="4"/>
  <c r="I93" i="4"/>
  <c r="J83" i="4"/>
  <c r="I83" i="4"/>
  <c r="J79" i="4"/>
  <c r="J95" i="4" s="1"/>
  <c r="I79" i="4"/>
  <c r="I95" i="4" s="1"/>
  <c r="I74" i="4"/>
  <c r="I76" i="4" s="1"/>
  <c r="J74" i="4"/>
  <c r="J76" i="4" s="1"/>
  <c r="E76" i="4"/>
  <c r="B157" i="4"/>
  <c r="J56" i="4"/>
  <c r="I56" i="4"/>
  <c r="I45" i="4"/>
  <c r="L45" i="4" s="1"/>
  <c r="J45" i="4"/>
  <c r="J17" i="4"/>
  <c r="I17" i="4"/>
  <c r="F151" i="4"/>
  <c r="G80" i="2"/>
  <c r="L80" i="2"/>
  <c r="J84" i="2"/>
  <c r="I84" i="2"/>
  <c r="I86" i="2" s="1"/>
  <c r="J74" i="2"/>
  <c r="J76" i="2" s="1"/>
  <c r="I74" i="2"/>
  <c r="I76" i="2" s="1"/>
  <c r="I35" i="2"/>
  <c r="J35" i="2"/>
  <c r="L35" i="2" s="1"/>
  <c r="H54" i="2"/>
  <c r="K54" i="2"/>
  <c r="K46" i="2"/>
  <c r="G33" i="2"/>
  <c r="L33" i="2"/>
  <c r="I150" i="2"/>
  <c r="I151" i="2" s="1"/>
  <c r="F33" i="2"/>
  <c r="K33" i="2"/>
  <c r="J31" i="2"/>
  <c r="I31" i="2"/>
  <c r="H42" i="2"/>
  <c r="K42" i="2"/>
  <c r="J12" i="2"/>
  <c r="L12" i="2" s="1"/>
  <c r="L15" i="2" s="1"/>
  <c r="O15" i="2" s="1"/>
  <c r="I12" i="2"/>
  <c r="K38" i="2"/>
  <c r="F150" i="2"/>
  <c r="D151" i="2"/>
  <c r="F42" i="2"/>
  <c r="D43" i="2"/>
  <c r="F132" i="2"/>
  <c r="F129" i="2"/>
  <c r="F119" i="2"/>
  <c r="F115" i="2"/>
  <c r="F104" i="2"/>
  <c r="F101" i="2"/>
  <c r="F76" i="2"/>
  <c r="F72" i="2"/>
  <c r="F57" i="2"/>
  <c r="F54" i="2"/>
  <c r="F46" i="2"/>
  <c r="C60" i="2"/>
  <c r="C61" i="2" s="1"/>
  <c r="F86" i="2"/>
  <c r="F38" i="2"/>
  <c r="F15" i="2"/>
  <c r="J9" i="2"/>
  <c r="I9" i="2"/>
  <c r="B151" i="2"/>
  <c r="E132" i="2"/>
  <c r="E129" i="2"/>
  <c r="E119" i="2"/>
  <c r="E115" i="2"/>
  <c r="E104" i="2"/>
  <c r="E101" i="2"/>
  <c r="E76" i="2"/>
  <c r="E46" i="2"/>
  <c r="H46" i="2"/>
  <c r="E38" i="2"/>
  <c r="G38" i="2" s="1"/>
  <c r="H38" i="2"/>
  <c r="C150" i="2"/>
  <c r="E143" i="2"/>
  <c r="B95" i="2"/>
  <c r="E86" i="2"/>
  <c r="E42" i="2"/>
  <c r="G42" i="2" s="1"/>
  <c r="B43" i="2"/>
  <c r="E15" i="2"/>
  <c r="G15" i="2" s="1"/>
  <c r="E155" i="2"/>
  <c r="E57" i="2"/>
  <c r="G57" i="2" s="1"/>
  <c r="E54" i="2"/>
  <c r="G54" i="2" s="1"/>
  <c r="E72" i="2"/>
  <c r="D157" i="1"/>
  <c r="D158" i="1" s="1"/>
  <c r="E115" i="1"/>
  <c r="G115" i="1" s="1"/>
  <c r="E76" i="1"/>
  <c r="G76" i="1" s="1"/>
  <c r="E57" i="1"/>
  <c r="G57" i="1" s="1"/>
  <c r="C150" i="1"/>
  <c r="E143" i="1"/>
  <c r="G143" i="1" s="1"/>
  <c r="B43" i="1"/>
  <c r="E42" i="1"/>
  <c r="G42" i="1" s="1"/>
  <c r="C38" i="1"/>
  <c r="E33" i="1"/>
  <c r="G33" i="1" s="1"/>
  <c r="E9" i="1"/>
  <c r="G9" i="1" s="1"/>
  <c r="E54" i="1"/>
  <c r="G54" i="1" s="1"/>
  <c r="E15" i="1"/>
  <c r="G15" i="1" s="1"/>
  <c r="E155" i="1"/>
  <c r="G155" i="1" s="1"/>
  <c r="E90" i="1"/>
  <c r="G90" i="1" s="1"/>
  <c r="B95" i="1"/>
  <c r="J119" i="2" l="1"/>
  <c r="L117" i="2"/>
  <c r="L119" i="2" s="1"/>
  <c r="R27" i="2" s="1"/>
  <c r="J115" i="2"/>
  <c r="L107" i="2"/>
  <c r="L115" i="2" s="1"/>
  <c r="R19" i="2" s="1"/>
  <c r="G95" i="2"/>
  <c r="G157" i="2" s="1"/>
  <c r="L95" i="2"/>
  <c r="I95" i="2"/>
  <c r="I157" i="2" s="1"/>
  <c r="J72" i="2"/>
  <c r="L65" i="2"/>
  <c r="L72" i="2" s="1"/>
  <c r="R15" i="2" s="1"/>
  <c r="J54" i="2"/>
  <c r="I54" i="2"/>
  <c r="J46" i="2"/>
  <c r="I46" i="2"/>
  <c r="L38" i="2"/>
  <c r="O16" i="2" s="1"/>
  <c r="J15" i="4"/>
  <c r="I15" i="4"/>
  <c r="E150" i="4"/>
  <c r="C151" i="4"/>
  <c r="F95" i="4"/>
  <c r="E95" i="4"/>
  <c r="R15" i="4"/>
  <c r="G46" i="4"/>
  <c r="L46" i="4"/>
  <c r="O18" i="4" s="1"/>
  <c r="D60" i="4"/>
  <c r="H60" i="4" s="1"/>
  <c r="K43" i="4"/>
  <c r="F43" i="4"/>
  <c r="J43" i="4" s="1"/>
  <c r="I43" i="4"/>
  <c r="H43" i="4"/>
  <c r="E43" i="4"/>
  <c r="G43" i="4" s="1"/>
  <c r="B61" i="4"/>
  <c r="E60" i="4"/>
  <c r="G60" i="4" s="1"/>
  <c r="J151" i="4"/>
  <c r="L134" i="4"/>
  <c r="L151" i="4" s="1"/>
  <c r="R30" i="4" s="1"/>
  <c r="J115" i="4"/>
  <c r="L110" i="4"/>
  <c r="L115" i="4" s="1"/>
  <c r="F157" i="4"/>
  <c r="J157" i="4"/>
  <c r="I157" i="4"/>
  <c r="J42" i="4"/>
  <c r="I42" i="4"/>
  <c r="O16" i="4"/>
  <c r="L60" i="4"/>
  <c r="L61" i="4" s="1"/>
  <c r="J86" i="2"/>
  <c r="J95" i="2" s="1"/>
  <c r="J157" i="2" s="1"/>
  <c r="G46" i="2"/>
  <c r="L46" i="2"/>
  <c r="O18" i="2" s="1"/>
  <c r="O28" i="2" s="1"/>
  <c r="J33" i="2"/>
  <c r="I33" i="2"/>
  <c r="H43" i="2"/>
  <c r="I42" i="2"/>
  <c r="J42" i="2"/>
  <c r="K43" i="2"/>
  <c r="D60" i="2"/>
  <c r="J15" i="2"/>
  <c r="I15" i="2"/>
  <c r="J38" i="2"/>
  <c r="I38" i="2"/>
  <c r="D157" i="2"/>
  <c r="F151" i="2"/>
  <c r="F43" i="2"/>
  <c r="F95" i="2"/>
  <c r="C151" i="2"/>
  <c r="E150" i="2"/>
  <c r="B60" i="2"/>
  <c r="E43" i="2"/>
  <c r="G43" i="2" s="1"/>
  <c r="E95" i="2"/>
  <c r="B157" i="2"/>
  <c r="E150" i="1"/>
  <c r="G150" i="1" s="1"/>
  <c r="C151" i="1"/>
  <c r="C60" i="1"/>
  <c r="C61" i="1" s="1"/>
  <c r="E38" i="1"/>
  <c r="G38" i="1" s="1"/>
  <c r="B157" i="1"/>
  <c r="E95" i="1"/>
  <c r="G95" i="1" s="1"/>
  <c r="E43" i="1"/>
  <c r="G43" i="1" s="1"/>
  <c r="B60" i="1"/>
  <c r="R17" i="2" l="1"/>
  <c r="R35" i="2" s="1"/>
  <c r="L157" i="2"/>
  <c r="L60" i="2"/>
  <c r="L61" i="2" s="1"/>
  <c r="O28" i="4"/>
  <c r="P16" i="4" s="1"/>
  <c r="E151" i="4"/>
  <c r="C157" i="4"/>
  <c r="D61" i="4"/>
  <c r="F60" i="4"/>
  <c r="K60" i="4"/>
  <c r="B158" i="4"/>
  <c r="R19" i="4"/>
  <c r="R35" i="4" s="1"/>
  <c r="L157" i="4"/>
  <c r="L158" i="4" s="1"/>
  <c r="D61" i="2"/>
  <c r="K60" i="2"/>
  <c r="I43" i="2"/>
  <c r="J43" i="2"/>
  <c r="F157" i="2"/>
  <c r="H60" i="2"/>
  <c r="F60" i="2"/>
  <c r="E151" i="2"/>
  <c r="C157" i="2"/>
  <c r="B61" i="2"/>
  <c r="E60" i="2"/>
  <c r="G60" i="2" s="1"/>
  <c r="C157" i="1"/>
  <c r="E151" i="1"/>
  <c r="G151" i="1" s="1"/>
  <c r="B61" i="1"/>
  <c r="E60" i="1"/>
  <c r="G60" i="1" s="1"/>
  <c r="L158" i="2" l="1"/>
  <c r="P15" i="4"/>
  <c r="P27" i="4"/>
  <c r="P26" i="4"/>
  <c r="P25" i="4"/>
  <c r="P24" i="4"/>
  <c r="P23" i="4"/>
  <c r="P22" i="4"/>
  <c r="P21" i="4"/>
  <c r="P20" i="4"/>
  <c r="P19" i="4"/>
  <c r="P18" i="4"/>
  <c r="P17" i="4"/>
  <c r="H61" i="4"/>
  <c r="H158" i="4" s="1"/>
  <c r="E61" i="4"/>
  <c r="G61" i="4" s="1"/>
  <c r="G158" i="4" s="1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15" i="4"/>
  <c r="S35" i="4" s="1"/>
  <c r="E157" i="4"/>
  <c r="C158" i="4"/>
  <c r="D158" i="4"/>
  <c r="F158" i="4" s="1"/>
  <c r="F61" i="4"/>
  <c r="K61" i="4"/>
  <c r="K158" i="4" s="1"/>
  <c r="I60" i="4"/>
  <c r="J60" i="4"/>
  <c r="K61" i="2"/>
  <c r="K158" i="2" s="1"/>
  <c r="D158" i="2"/>
  <c r="I60" i="2"/>
  <c r="J60" i="2"/>
  <c r="H61" i="2"/>
  <c r="H158" i="2" s="1"/>
  <c r="F61" i="2"/>
  <c r="E157" i="2"/>
  <c r="C158" i="2"/>
  <c r="E61" i="2"/>
  <c r="G61" i="2" s="1"/>
  <c r="G158" i="2" s="1"/>
  <c r="B158" i="2"/>
  <c r="E157" i="1"/>
  <c r="G157" i="1" s="1"/>
  <c r="C158" i="1"/>
  <c r="B158" i="1"/>
  <c r="E61" i="1"/>
  <c r="G61" i="1" s="1"/>
  <c r="P28" i="4" l="1"/>
  <c r="E158" i="4"/>
  <c r="I61" i="4"/>
  <c r="I158" i="4" s="1"/>
  <c r="J61" i="4"/>
  <c r="J158" i="4" s="1"/>
  <c r="J61" i="2"/>
  <c r="J158" i="2" s="1"/>
  <c r="I61" i="2"/>
  <c r="I158" i="2" s="1"/>
  <c r="E158" i="2"/>
  <c r="F158" i="2"/>
  <c r="E158" i="1"/>
  <c r="G158" i="1" s="1"/>
  <c r="S61" i="2"/>
  <c r="S158" i="2"/>
  <c r="S57" i="2"/>
  <c r="M57" i="2"/>
</calcChain>
</file>

<file path=xl/sharedStrings.xml><?xml version="1.0" encoding="utf-8"?>
<sst xmlns="http://schemas.openxmlformats.org/spreadsheetml/2006/main" count="546" uniqueCount="191">
  <si>
    <t>Jan - Dec 2023</t>
  </si>
  <si>
    <t>Jan - Dec 2024</t>
  </si>
  <si>
    <t>Jan 1 - Nov 17, 2025</t>
  </si>
  <si>
    <t>Total</t>
  </si>
  <si>
    <t>Revenue</t>
  </si>
  <si>
    <t xml:space="preserve">   Direct Public Grants</t>
  </si>
  <si>
    <t xml:space="preserve">      Discounts/Refunds Given</t>
  </si>
  <si>
    <t xml:space="preserve">   Total Direct Public Grants</t>
  </si>
  <si>
    <t xml:space="preserve">   Direct Public Support</t>
  </si>
  <si>
    <t xml:space="preserve">      Corporate Contributions</t>
  </si>
  <si>
    <t xml:space="preserve">      Individual Contributions</t>
  </si>
  <si>
    <t xml:space="preserve">      Memorial Donation</t>
  </si>
  <si>
    <t xml:space="preserve">      o2 Project Grant</t>
  </si>
  <si>
    <t xml:space="preserve">   Total Direct Public Support</t>
  </si>
  <si>
    <t xml:space="preserve">   Fundraising Events</t>
  </si>
  <si>
    <t xml:space="preserve">      2023 Saints Raffle</t>
  </si>
  <si>
    <t xml:space="preserve">      2024 Fall Rifle Raffle</t>
  </si>
  <si>
    <t xml:space="preserve">      2024 Rifle Raffle</t>
  </si>
  <si>
    <t xml:space="preserve">      2025 Breakfast with the Best</t>
  </si>
  <si>
    <t xml:space="preserve">      2025 Fall Rifle Raffle</t>
  </si>
  <si>
    <t xml:space="preserve">      2025 Spring Rifle Raffle</t>
  </si>
  <si>
    <t xml:space="preserve">      Amazon Smile</t>
  </si>
  <si>
    <t xml:space="preserve">      Beyond the Territorial Sea</t>
  </si>
  <si>
    <t xml:space="preserve">      Deck Logs</t>
  </si>
  <si>
    <t xml:space="preserve">      Facebook Fundraiser</t>
  </si>
  <si>
    <t xml:space="preserve">      Freedom's Fund</t>
  </si>
  <si>
    <t xml:space="preserve">      o2 Project</t>
  </si>
  <si>
    <t xml:space="preserve">         o2 Project 50/50</t>
  </si>
  <si>
    <t xml:space="preserve">      Total o2 Project</t>
  </si>
  <si>
    <t xml:space="preserve">      Online Store</t>
  </si>
  <si>
    <t xml:space="preserve">      Round Up for Vets</t>
  </si>
  <si>
    <t xml:space="preserve">      Sponsorship</t>
  </si>
  <si>
    <t xml:space="preserve">      United Way, CFC Contributions</t>
  </si>
  <si>
    <t xml:space="preserve">   Total Fundraising Events</t>
  </si>
  <si>
    <t xml:space="preserve">   Indirect Public Support</t>
  </si>
  <si>
    <t xml:space="preserve">      Personal Contributions</t>
  </si>
  <si>
    <t xml:space="preserve">         John B. Wells</t>
  </si>
  <si>
    <t xml:space="preserve">      Total Personal Contributions</t>
  </si>
  <si>
    <t xml:space="preserve">   Total Indirect Public Support</t>
  </si>
  <si>
    <t xml:space="preserve">   Investments</t>
  </si>
  <si>
    <t xml:space="preserve">      Interest-Savings, Short-term CD</t>
  </si>
  <si>
    <t xml:space="preserve">   Total Investments</t>
  </si>
  <si>
    <t xml:space="preserve">   Membership Dues</t>
  </si>
  <si>
    <t xml:space="preserve">      2026 Membership Dues</t>
  </si>
  <si>
    <t xml:space="preserve">      Life Membership</t>
  </si>
  <si>
    <t xml:space="preserve">   Total Membership Dues</t>
  </si>
  <si>
    <t xml:space="preserve">   Other Types of Income</t>
  </si>
  <si>
    <t xml:space="preserve">      Miscellaneous Revenue</t>
  </si>
  <si>
    <t xml:space="preserve">   Total Other Types of Income</t>
  </si>
  <si>
    <t xml:space="preserve">   Services</t>
  </si>
  <si>
    <t xml:space="preserve">   Unapplied Cash Payment Income-1</t>
  </si>
  <si>
    <t>Total Revenue</t>
  </si>
  <si>
    <t>Gross Profit</t>
  </si>
  <si>
    <t>Expenditures</t>
  </si>
  <si>
    <t xml:space="preserve">   Awards</t>
  </si>
  <si>
    <t xml:space="preserve">   Business Expenses</t>
  </si>
  <si>
    <t xml:space="preserve">      Business Registration Fees</t>
  </si>
  <si>
    <t xml:space="preserve">      Credit Card Fees</t>
  </si>
  <si>
    <t xml:space="preserve">      Flipcause Fees</t>
  </si>
  <si>
    <t xml:space="preserve">      PayPal Fees</t>
  </si>
  <si>
    <t xml:space="preserve">      Pledgeit</t>
  </si>
  <si>
    <t xml:space="preserve">      Quorum</t>
  </si>
  <si>
    <t xml:space="preserve">      Stripe Fees</t>
  </si>
  <si>
    <t xml:space="preserve">   Total Business Expenses</t>
  </si>
  <si>
    <t xml:space="preserve">   Contract Services</t>
  </si>
  <si>
    <t xml:space="preserve">      Accounting Fees</t>
  </si>
  <si>
    <t xml:space="preserve">      Legal Fees</t>
  </si>
  <si>
    <t xml:space="preserve">   Total Contract Services</t>
  </si>
  <si>
    <t xml:space="preserve">   Facilities and Equipment</t>
  </si>
  <si>
    <t xml:space="preserve">   Fundraising</t>
  </si>
  <si>
    <t xml:space="preserve">      CFC Application</t>
  </si>
  <si>
    <t xml:space="preserve">      Credit Card Charges</t>
  </si>
  <si>
    <t xml:space="preserve">      Facility Rental</t>
  </si>
  <si>
    <t xml:space="preserve">      Fundraising Consultant</t>
  </si>
  <si>
    <t xml:space="preserve">      Fundraising Registration Fees</t>
  </si>
  <si>
    <t xml:space="preserve">      Fundraising Supplies</t>
  </si>
  <si>
    <t xml:space="preserve">         2023 2nd Rifle Raffle</t>
  </si>
  <si>
    <t xml:space="preserve">      Total Fundraising Supplies</t>
  </si>
  <si>
    <t xml:space="preserve">      Fundraising Travel</t>
  </si>
  <si>
    <t xml:space="preserve">         Airlines</t>
  </si>
  <si>
    <t xml:space="preserve">         Meals</t>
  </si>
  <si>
    <t xml:space="preserve">      Total Fundraising Travel</t>
  </si>
  <si>
    <t xml:space="preserve">      Grant Expense</t>
  </si>
  <si>
    <t xml:space="preserve">      Postage</t>
  </si>
  <si>
    <t xml:space="preserve">      Rental Car</t>
  </si>
  <si>
    <t xml:space="preserve">      Social Media Fundraising</t>
  </si>
  <si>
    <t xml:space="preserve">   Total Fundraising</t>
  </si>
  <si>
    <t xml:space="preserve">   Media Support</t>
  </si>
  <si>
    <t xml:space="preserve">      Project Promotion</t>
  </si>
  <si>
    <t xml:space="preserve">      Public Relations Assistance</t>
  </si>
  <si>
    <t xml:space="preserve">      Social Media Promotions</t>
  </si>
  <si>
    <t xml:space="preserve">      Website Design &amp; Maintenance</t>
  </si>
  <si>
    <t xml:space="preserve">   Total Media Support</t>
  </si>
  <si>
    <t xml:space="preserve">   Miscellanous</t>
  </si>
  <si>
    <t xml:space="preserve">      Reimbursement</t>
  </si>
  <si>
    <t xml:space="preserve">   Total Miscellanous</t>
  </si>
  <si>
    <t xml:space="preserve">   Operations</t>
  </si>
  <si>
    <t xml:space="preserve">      Court Filing Fees</t>
  </si>
  <si>
    <t xml:space="preserve">      Go Daddy</t>
  </si>
  <si>
    <t xml:space="preserve">      Phone2Action</t>
  </si>
  <si>
    <t xml:space="preserve">      Postage, Mailing Service</t>
  </si>
  <si>
    <t xml:space="preserve">      Printing and Copying</t>
  </si>
  <si>
    <t xml:space="preserve">      Sendinblue</t>
  </si>
  <si>
    <t xml:space="preserve">      Supplies</t>
  </si>
  <si>
    <t xml:space="preserve">      Telephone, Telecommunications</t>
  </si>
  <si>
    <t xml:space="preserve">      Zoom</t>
  </si>
  <si>
    <t xml:space="preserve">   Total Operations</t>
  </si>
  <si>
    <t xml:space="preserve">   Other Types of Expenses</t>
  </si>
  <si>
    <t xml:space="preserve">      Insurance - Liability, D and O</t>
  </si>
  <si>
    <t xml:space="preserve">      Workers Comp</t>
  </si>
  <si>
    <t xml:space="preserve">   Total Other Types of Expenses</t>
  </si>
  <si>
    <t xml:space="preserve">   Payroll Expenses</t>
  </si>
  <si>
    <t xml:space="preserve">      Employee Medicare</t>
  </si>
  <si>
    <t xml:space="preserve">      Employee Social Security</t>
  </si>
  <si>
    <t xml:space="preserve">      Employer Medicare</t>
  </si>
  <si>
    <t xml:space="preserve">      Employer Social Security</t>
  </si>
  <si>
    <t xml:space="preserve">      Federal Income Tax</t>
  </si>
  <si>
    <t xml:space="preserve">      Louisiana State Tax</t>
  </si>
  <si>
    <t xml:space="preserve">      Patriot Payroll</t>
  </si>
  <si>
    <t xml:space="preserve">      Payroll Expenses</t>
  </si>
  <si>
    <t xml:space="preserve">   Total Payroll Expenses</t>
  </si>
  <si>
    <t xml:space="preserve">   Project Promotion/Promotional</t>
  </si>
  <si>
    <t xml:space="preserve">      o2 Project Promotion</t>
  </si>
  <si>
    <t xml:space="preserve">   Total Project Promotion/Promotional</t>
  </si>
  <si>
    <t xml:space="preserve">   Public Education</t>
  </si>
  <si>
    <t xml:space="preserve">      Education Printing and Copying</t>
  </si>
  <si>
    <t xml:space="preserve">      Get Outside o2 ProjectGrt</t>
  </si>
  <si>
    <t xml:space="preserve">      Travl and Mtgs-Education</t>
  </si>
  <si>
    <t xml:space="preserve">         Airline</t>
  </si>
  <si>
    <t xml:space="preserve">         Conference, Convention, Meeting</t>
  </si>
  <si>
    <t xml:space="preserve">         Lodging</t>
  </si>
  <si>
    <t xml:space="preserve">         o2 Project</t>
  </si>
  <si>
    <t xml:space="preserve">            City of Newport RI</t>
  </si>
  <si>
    <t xml:space="preserve">         Total o2 Project</t>
  </si>
  <si>
    <t xml:space="preserve">         o2 Project Travel</t>
  </si>
  <si>
    <t xml:space="preserve">         Parking</t>
  </si>
  <si>
    <t xml:space="preserve">         Rental Car</t>
  </si>
  <si>
    <t xml:space="preserve">         Taxi/Car Service</t>
  </si>
  <si>
    <t xml:space="preserve">         Train</t>
  </si>
  <si>
    <t xml:space="preserve">         Travel</t>
  </si>
  <si>
    <t xml:space="preserve">      Total Travl and Mtgs-Education</t>
  </si>
  <si>
    <t xml:space="preserve">   Total Public Education</t>
  </si>
  <si>
    <t xml:space="preserve">   Travel and Expense - Advocacy</t>
  </si>
  <si>
    <t xml:space="preserve">      Parking</t>
  </si>
  <si>
    <t xml:space="preserve">      Taxi/Car Service</t>
  </si>
  <si>
    <t xml:space="preserve">   Total Travel and Expense - Advocacy</t>
  </si>
  <si>
    <t xml:space="preserve">   Uncategorized Expense</t>
  </si>
  <si>
    <t>Total Expenditures</t>
  </si>
  <si>
    <t>Net Operating Revenue</t>
  </si>
  <si>
    <t>Military-Veterans Advocacy</t>
  </si>
  <si>
    <t>Statement of Activity</t>
  </si>
  <si>
    <t>January 1, 2023 - November 17, 2025</t>
  </si>
  <si>
    <t>Jan - Dec 2026</t>
  </si>
  <si>
    <t xml:space="preserve">      Breakfast best</t>
  </si>
  <si>
    <t xml:space="preserve">      Fall Rifle Raffle</t>
  </si>
  <si>
    <t xml:space="preserve">      Rifle Raffle</t>
  </si>
  <si>
    <t xml:space="preserve">       Membership Dues -1yr</t>
  </si>
  <si>
    <t xml:space="preserve">       Membership - 0Y</t>
  </si>
  <si>
    <t xml:space="preserve">       Membership Dues +1YR</t>
  </si>
  <si>
    <t xml:space="preserve">       Membership Dues +2YR</t>
  </si>
  <si>
    <t>Average</t>
  </si>
  <si>
    <t>liner foc</t>
  </si>
  <si>
    <t>Aggressive</t>
  </si>
  <si>
    <t>change 23-25</t>
  </si>
  <si>
    <t xml:space="preserve">half </t>
  </si>
  <si>
    <t>aggress</t>
  </si>
  <si>
    <t>Flat</t>
  </si>
  <si>
    <t>Line</t>
  </si>
  <si>
    <t>Income</t>
  </si>
  <si>
    <t>Exp not exceed income</t>
  </si>
  <si>
    <t>`</t>
  </si>
  <si>
    <t>Trend</t>
  </si>
  <si>
    <t>CFC</t>
  </si>
  <si>
    <t xml:space="preserve">        NASDVA_ Conference, Convention, Meeting</t>
  </si>
  <si>
    <t xml:space="preserve">         Airline -other trips</t>
  </si>
  <si>
    <t>Jan 1 - Est Dec 2025</t>
  </si>
  <si>
    <t>Our desired program</t>
  </si>
  <si>
    <t>8 hours</t>
  </si>
  <si>
    <t>5 trip Jan 2wk - jun/july, sept/oct, Nov/dec</t>
  </si>
  <si>
    <t xml:space="preserve">   Unapplied Cash Paymt Income-1</t>
  </si>
  <si>
    <t>march 1-4</t>
  </si>
  <si>
    <t>Expenses</t>
  </si>
  <si>
    <t>Expense</t>
  </si>
  <si>
    <t>Amount</t>
  </si>
  <si>
    <t>Other</t>
  </si>
  <si>
    <t xml:space="preserve">   Other</t>
  </si>
  <si>
    <t>2026 Budget Chart</t>
  </si>
  <si>
    <t>Budget</t>
  </si>
  <si>
    <t>Actual</t>
  </si>
  <si>
    <t>% Budget</t>
  </si>
  <si>
    <t>to Annual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</si>
</sst>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,##0.00\ _€"/>
    <numFmt numFmtId="165" formatCode="&quot;$&quot;* #,##0.00\ _€"/>
  </numFmts>
  <fonts count="11" x14ac:knownFonts="1">
    <font>
      <sz val="11"/>
      <color indexed="8"/>
      <name val="Aptos Narrow"/>
      <family val="2"/>
      <scheme val="minor"/>
    </font>
    <font>
      <b/>
      <sz val="9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4"/>
      <color indexed="8"/>
      <name val="Arial"/>
    </font>
    <font>
      <b/>
      <sz val="10"/>
      <color indexed="8"/>
      <name val="Arial"/>
    </font>
    <font>
      <sz val="11"/>
      <color indexed="8"/>
      <name val="Aptos Narrow"/>
      <family val="2"/>
      <scheme val="minor"/>
    </font>
    <font>
      <sz val="8"/>
      <color indexed="8"/>
      <name val="Aptos Narrow"/>
      <family val="2"/>
      <scheme val="minor"/>
    </font>
    <font>
      <b/>
      <sz val="8"/>
      <color indexed="8"/>
      <name val="Arial"/>
      <family val="2"/>
    </font>
    <font>
      <sz val="11"/>
      <color theme="0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6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0" fontId="2" fillId="5" borderId="0" xfId="0" applyFont="1" applyFill="1" applyAlignment="1">
      <alignment horizontal="left" wrapText="1"/>
    </xf>
    <xf numFmtId="165" fontId="2" fillId="5" borderId="2" xfId="0" applyNumberFormat="1" applyFont="1" applyFill="1" applyBorder="1" applyAlignment="1">
      <alignment horizontal="right" wrapText="1"/>
    </xf>
    <xf numFmtId="0" fontId="0" fillId="5" borderId="0" xfId="0" applyFill="1"/>
    <xf numFmtId="2" fontId="7" fillId="0" borderId="0" xfId="1" applyNumberFormat="1" applyFont="1"/>
    <xf numFmtId="0" fontId="7" fillId="0" borderId="0" xfId="0" applyFont="1"/>
    <xf numFmtId="2" fontId="7" fillId="0" borderId="0" xfId="0" applyNumberFormat="1" applyFont="1"/>
    <xf numFmtId="2" fontId="7" fillId="5" borderId="0" xfId="0" applyNumberFormat="1" applyFont="1" applyFill="1"/>
    <xf numFmtId="165" fontId="8" fillId="0" borderId="2" xfId="0" applyNumberFormat="1" applyFont="1" applyBorder="1" applyAlignment="1">
      <alignment horizontal="right" wrapText="1"/>
    </xf>
    <xf numFmtId="44" fontId="2" fillId="5" borderId="2" xfId="0" applyNumberFormat="1" applyFont="1" applyFill="1" applyBorder="1" applyAlignment="1">
      <alignment horizontal="right" wrapText="1"/>
    </xf>
    <xf numFmtId="44" fontId="7" fillId="5" borderId="0" xfId="0" applyNumberFormat="1" applyFont="1" applyFill="1"/>
    <xf numFmtId="164" fontId="3" fillId="6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center"/>
    </xf>
    <xf numFmtId="2" fontId="7" fillId="6" borderId="0" xfId="0" applyNumberFormat="1" applyFont="1" applyFill="1"/>
    <xf numFmtId="164" fontId="3" fillId="7" borderId="0" xfId="0" applyNumberFormat="1" applyFont="1" applyFill="1" applyAlignment="1">
      <alignment horizontal="right" wrapText="1"/>
    </xf>
    <xf numFmtId="0" fontId="2" fillId="0" borderId="0" xfId="0" applyFont="1" applyAlignment="1">
      <alignment horizontal="left" wrapText="1" indent="3"/>
    </xf>
    <xf numFmtId="0" fontId="9" fillId="0" borderId="0" xfId="0" applyFont="1"/>
    <xf numFmtId="0" fontId="1" fillId="5" borderId="1" xfId="0" applyFont="1" applyFill="1" applyBorder="1" applyAlignment="1">
      <alignment horizontal="center" wrapText="1"/>
    </xf>
    <xf numFmtId="165" fontId="8" fillId="5" borderId="2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Alignment="1">
      <alignment wrapText="1"/>
    </xf>
    <xf numFmtId="164" fontId="3" fillId="5" borderId="0" xfId="0" applyNumberFormat="1" applyFont="1" applyFill="1" applyAlignment="1">
      <alignment horizontal="right" wrapText="1"/>
    </xf>
    <xf numFmtId="44" fontId="0" fillId="0" borderId="0" xfId="0" applyNumberFormat="1"/>
    <xf numFmtId="165" fontId="0" fillId="0" borderId="0" xfId="0" applyNumberFormat="1"/>
    <xf numFmtId="165" fontId="0" fillId="0" borderId="3" xfId="0" applyNumberFormat="1" applyBorder="1"/>
    <xf numFmtId="9" fontId="0" fillId="0" borderId="3" xfId="1" applyFont="1" applyBorder="1"/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9" fontId="0" fillId="0" borderId="7" xfId="1" applyFont="1" applyBorder="1"/>
    <xf numFmtId="9" fontId="0" fillId="0" borderId="8" xfId="1" applyFont="1" applyBorder="1"/>
    <xf numFmtId="0" fontId="0" fillId="0" borderId="7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9" fontId="0" fillId="0" borderId="0" xfId="1" applyFont="1" applyBorder="1"/>
    <xf numFmtId="165" fontId="0" fillId="0" borderId="6" xfId="0" applyNumberFormat="1" applyBorder="1"/>
    <xf numFmtId="9" fontId="0" fillId="0" borderId="0" xfId="1" applyFont="1"/>
    <xf numFmtId="0" fontId="10" fillId="0" borderId="0" xfId="0" applyFont="1"/>
    <xf numFmtId="44" fontId="8" fillId="5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</a:t>
            </a:r>
          </a:p>
        </c:rich>
      </c:tx>
      <c:layout>
        <c:manualLayout>
          <c:xMode val="edge"/>
          <c:yMode val="edge"/>
          <c:x val="4.1777777777777761E-2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'SOA Graph'!$R$14</c:f>
              <c:strCache>
                <c:ptCount val="1"/>
                <c:pt idx="0">
                  <c:v>Amount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5BF3-462A-BF79-507B263CE57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5BF3-462A-BF79-507B263CE57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5BF3-462A-BF79-507B263CE57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284-41F1-AE88-523DAF7C4DD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5BF3-462A-BF79-507B263CE57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284-41F1-AE88-523DAF7C4DD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284-41F1-AE88-523DAF7C4DD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5BF3-462A-BF79-507B263CE575}"/>
              </c:ext>
            </c:extLst>
          </c:dPt>
          <c:dLbls>
            <c:dLbl>
              <c:idx val="0"/>
              <c:layout>
                <c:manualLayout>
                  <c:x val="-0.17777777777777778"/>
                  <c:y val="3.703703703703702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BF3-462A-BF79-507B263CE575}"/>
                </c:ext>
              </c:extLst>
            </c:dLbl>
            <c:dLbl>
              <c:idx val="1"/>
              <c:layout>
                <c:manualLayout>
                  <c:x val="0.15"/>
                  <c:y val="1.38888888888888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BF3-462A-BF79-507B263CE575}"/>
                </c:ext>
              </c:extLst>
            </c:dLbl>
            <c:dLbl>
              <c:idx val="2"/>
              <c:layout>
                <c:manualLayout>
                  <c:x val="0.10277777777777777"/>
                  <c:y val="0.13888888888888884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101975"/>
                        <a:gd name="adj2" fmla="val -10934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0-5BF3-462A-BF79-507B263CE575}"/>
                </c:ext>
              </c:extLst>
            </c:dLbl>
            <c:dLbl>
              <c:idx val="4"/>
              <c:layout>
                <c:manualLayout>
                  <c:x val="8.8888888888888892E-2"/>
                  <c:y val="-0.15277777777777779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106194"/>
                        <a:gd name="adj2" fmla="val 36460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4-5BF3-462A-BF79-507B263CE575}"/>
                </c:ext>
              </c:extLst>
            </c:dLbl>
            <c:dLbl>
              <c:idx val="7"/>
              <c:layout>
                <c:manualLayout>
                  <c:x val="-8.3333333333333343E-2"/>
                  <c:y val="0.125"/>
                </c:manualLayout>
              </c:layout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72267"/>
                        <a:gd name="adj2" fmla="val 41217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2-5BF3-462A-BF79-507B263CE575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'SOA Graph'!$Q$15:$Q$30</c:f>
              <c:strCache>
                <c:ptCount val="8"/>
                <c:pt idx="0">
                  <c:v>   Business Expenses</c:v>
                </c:pt>
                <c:pt idx="1">
                  <c:v>   Contract Services</c:v>
                </c:pt>
                <c:pt idx="2">
                  <c:v>   Fundraising</c:v>
                </c:pt>
                <c:pt idx="3">
                  <c:v>   Media Support</c:v>
                </c:pt>
                <c:pt idx="4">
                  <c:v>   Operations</c:v>
                </c:pt>
                <c:pt idx="5">
                  <c:v>Other</c:v>
                </c:pt>
                <c:pt idx="6">
                  <c:v>   Payroll Expenses</c:v>
                </c:pt>
                <c:pt idx="7">
                  <c:v>   Public Education</c:v>
                </c:pt>
              </c:strCache>
            </c:strRef>
          </c:cat>
          <c:val>
            <c:numRef>
              <c:f>'SOA Graph'!$R$15:$R$30</c:f>
              <c:numCache>
                <c:formatCode>"$"* #,##0.00\ _€</c:formatCode>
                <c:ptCount val="8"/>
                <c:pt idx="0">
                  <c:v>2417.9157656041471</c:v>
                </c:pt>
                <c:pt idx="1">
                  <c:v>600</c:v>
                </c:pt>
                <c:pt idx="2">
                  <c:v>12266.606</c:v>
                </c:pt>
                <c:pt idx="3">
                  <c:v>18930.560000000001</c:v>
                </c:pt>
                <c:pt idx="4">
                  <c:v>9655.971435345873</c:v>
                </c:pt>
                <c:pt idx="5">
                  <c:v>420</c:v>
                </c:pt>
                <c:pt idx="6">
                  <c:v>37472.39</c:v>
                </c:pt>
                <c:pt idx="7">
                  <c:v>21564.271046883703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3-462A-BF79-507B263CE5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Income</a:t>
            </a:r>
          </a:p>
        </c:rich>
      </c:tx>
      <c:layout>
        <c:manualLayout>
          <c:xMode val="edge"/>
          <c:yMode val="edge"/>
          <c:x val="1.1867891513560774E-2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2B8-4804-A9B2-4A96D5EB8FD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2B8-4804-A9B2-4A96D5EB8FD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2B8-4804-A9B2-4A96D5EB8FD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2B8-4804-A9B2-4A96D5EB8FD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9B6-40C6-84EA-D93B8A344AF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9B6-40C6-84EA-D93B8A344AF6}"/>
              </c:ext>
            </c:extLst>
          </c:dPt>
          <c:dLbls>
            <c:dLbl>
              <c:idx val="4"/>
              <c:layout>
                <c:manualLayout>
                  <c:x val="4.1666666666666664E-2"/>
                  <c:y val="-5.09259259259259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9B6-40C6-84EA-D93B8A344AF6}"/>
                </c:ext>
              </c:extLst>
            </c:dLbl>
            <c:dLbl>
              <c:idx val="5"/>
              <c:layout>
                <c:manualLayout>
                  <c:x val="0.1361111111111111"/>
                  <c:y val="-9.2592592592592587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B6-40C6-84EA-D93B8A344AF6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'SOA Graph'!$N$15:$N$27</c:f>
              <c:strCache>
                <c:ptCount val="6"/>
                <c:pt idx="0">
                  <c:v>   Direct Public Support</c:v>
                </c:pt>
                <c:pt idx="1">
                  <c:v>   Fundraising Events</c:v>
                </c:pt>
                <c:pt idx="2">
                  <c:v>   Indirect Public Support</c:v>
                </c:pt>
                <c:pt idx="3">
                  <c:v>   Investments</c:v>
                </c:pt>
                <c:pt idx="4">
                  <c:v>   Membership Dues</c:v>
                </c:pt>
                <c:pt idx="5">
                  <c:v>   Other</c:v>
                </c:pt>
              </c:strCache>
            </c:strRef>
          </c:cat>
          <c:val>
            <c:numRef>
              <c:f>'SOA Graph'!$O$15:$O$27</c:f>
              <c:numCache>
                <c:formatCode>"$"* #,##0.00\ _€</c:formatCode>
                <c:ptCount val="6"/>
                <c:pt idx="0">
                  <c:v>43933.426361940365</c:v>
                </c:pt>
                <c:pt idx="1">
                  <c:v>25300</c:v>
                </c:pt>
                <c:pt idx="2">
                  <c:v>20400</c:v>
                </c:pt>
                <c:pt idx="3">
                  <c:v>644.61</c:v>
                </c:pt>
                <c:pt idx="4">
                  <c:v>10303.429801570754</c:v>
                </c:pt>
                <c:pt idx="5">
                  <c:v>4955.0556028545079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B6-40C6-84EA-D93B8A344A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628055</xdr:colOff>
      <xdr:row>35</xdr:row>
      <xdr:rowOff>15477</xdr:rowOff>
    </xdr:from>
    <xdr:to>
      <xdr:col>22</xdr:col>
      <xdr:colOff>282774</xdr:colOff>
      <xdr:row>50</xdr:row>
      <xdr:rowOff>55959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2A7E9CD-C36D-4CE4-AB64-F5FF8CBAD1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44648</xdr:colOff>
      <xdr:row>35</xdr:row>
      <xdr:rowOff>9525</xdr:rowOff>
    </xdr:from>
    <xdr:to>
      <xdr:col>16</xdr:col>
      <xdr:colOff>616148</xdr:colOff>
      <xdr:row>50</xdr:row>
      <xdr:rowOff>50007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F4AA135-431F-DB73-866E-A0FB19B1A8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6" sqref="F16"/>
    </sheetView>
  </sheetViews>
  <sheetFormatPr defaultRowHeight="14.5" x14ac:dyDescent="0.35"/>
  <cols>
    <col min="1" max="1" width="35.36328125" customWidth="1"/>
    <col min="2" max="4" width="11.08984375" customWidth="1"/>
    <col min="5" max="5" width="12" customWidth="1"/>
    <col min="7" max="9" width="10.453125" customWidth="1"/>
  </cols>
  <sheetData>
    <row r="1" spans="1:9" ht="18" x14ac:dyDescent="0.4">
      <c r="A1" s="51" t="s">
        <v>149</v>
      </c>
      <c r="B1" s="50"/>
      <c r="C1" s="50"/>
      <c r="D1" s="50"/>
      <c r="E1" s="50"/>
    </row>
    <row r="2" spans="1:9" ht="18" x14ac:dyDescent="0.4">
      <c r="A2" s="51" t="s">
        <v>150</v>
      </c>
      <c r="B2" s="50"/>
      <c r="C2" s="50"/>
      <c r="D2" s="50"/>
      <c r="E2" s="50"/>
    </row>
    <row r="3" spans="1:9" x14ac:dyDescent="0.35">
      <c r="A3" s="52" t="s">
        <v>151</v>
      </c>
      <c r="B3" s="50"/>
      <c r="C3" s="50"/>
      <c r="D3" s="50"/>
      <c r="E3" s="50"/>
      <c r="G3" t="s">
        <v>3</v>
      </c>
    </row>
    <row r="4" spans="1:9" x14ac:dyDescent="0.35">
      <c r="G4" t="s">
        <v>160</v>
      </c>
    </row>
    <row r="5" spans="1:9" ht="24" x14ac:dyDescent="0.35">
      <c r="A5" s="1"/>
      <c r="B5" s="2" t="s">
        <v>0</v>
      </c>
      <c r="C5" s="2" t="s">
        <v>1</v>
      </c>
      <c r="D5" s="2" t="s">
        <v>2</v>
      </c>
      <c r="E5" s="2" t="s">
        <v>3</v>
      </c>
      <c r="G5" s="2" t="s">
        <v>152</v>
      </c>
      <c r="H5" s="2" t="s">
        <v>152</v>
      </c>
      <c r="I5" s="2" t="s">
        <v>152</v>
      </c>
    </row>
    <row r="6" spans="1:9" x14ac:dyDescent="0.35">
      <c r="A6" s="3" t="s">
        <v>4</v>
      </c>
      <c r="B6" s="4"/>
      <c r="C6" s="4"/>
      <c r="D6" s="4"/>
      <c r="E6" s="4"/>
    </row>
    <row r="7" spans="1:9" x14ac:dyDescent="0.35">
      <c r="A7" s="3" t="s">
        <v>5</v>
      </c>
      <c r="B7" s="4"/>
      <c r="C7" s="4"/>
      <c r="D7" s="4"/>
      <c r="E7" s="5">
        <f t="shared" ref="E7:E37" si="0">((B7)+(C7))+(D7)</f>
        <v>0</v>
      </c>
    </row>
    <row r="8" spans="1:9" x14ac:dyDescent="0.35">
      <c r="A8" s="3" t="s">
        <v>6</v>
      </c>
      <c r="B8" s="5">
        <f>2000</f>
        <v>2000</v>
      </c>
      <c r="C8" s="4"/>
      <c r="D8" s="4"/>
      <c r="E8" s="7">
        <v>0</v>
      </c>
    </row>
    <row r="9" spans="1:9" x14ac:dyDescent="0.35">
      <c r="A9" s="3" t="s">
        <v>7</v>
      </c>
      <c r="B9" s="6">
        <f>(B7)+(B8)</f>
        <v>2000</v>
      </c>
      <c r="C9" s="6">
        <f>(C7)+(C8)</f>
        <v>0</v>
      </c>
      <c r="D9" s="6">
        <f>(D7)+(D8)</f>
        <v>0</v>
      </c>
      <c r="E9" s="6">
        <f t="shared" si="0"/>
        <v>2000</v>
      </c>
      <c r="G9" s="6">
        <f>E9/3</f>
        <v>666.66666666666663</v>
      </c>
      <c r="H9" s="6"/>
      <c r="I9" s="6"/>
    </row>
    <row r="10" spans="1:9" x14ac:dyDescent="0.35">
      <c r="A10" s="3" t="s">
        <v>8</v>
      </c>
      <c r="B10" s="4"/>
      <c r="C10" s="4"/>
      <c r="D10" s="4"/>
      <c r="E10" s="5">
        <f t="shared" si="0"/>
        <v>0</v>
      </c>
      <c r="G10" s="4">
        <f t="shared" ref="G10:G73" si="1">E10/3</f>
        <v>0</v>
      </c>
      <c r="H10" s="4"/>
      <c r="I10" s="4"/>
    </row>
    <row r="11" spans="1:9" x14ac:dyDescent="0.35">
      <c r="A11" s="3" t="s">
        <v>9</v>
      </c>
      <c r="B11" s="4"/>
      <c r="C11" s="5">
        <f>317.16</f>
        <v>317.16000000000003</v>
      </c>
      <c r="D11" s="4"/>
      <c r="E11" s="5">
        <f t="shared" si="0"/>
        <v>317.16000000000003</v>
      </c>
      <c r="G11" s="4">
        <f t="shared" si="1"/>
        <v>105.72000000000001</v>
      </c>
      <c r="H11" s="4"/>
      <c r="I11" s="4"/>
    </row>
    <row r="12" spans="1:9" x14ac:dyDescent="0.35">
      <c r="A12" s="3" t="s">
        <v>10</v>
      </c>
      <c r="B12" s="5">
        <f>40608.77</f>
        <v>40608.769999999997</v>
      </c>
      <c r="C12" s="5">
        <f>60590.6</f>
        <v>60590.6</v>
      </c>
      <c r="D12" s="5">
        <f>42586.17</f>
        <v>42586.17</v>
      </c>
      <c r="E12" s="5">
        <f t="shared" si="0"/>
        <v>143785.53999999998</v>
      </c>
      <c r="G12" s="5">
        <f t="shared" si="1"/>
        <v>47928.513333333329</v>
      </c>
      <c r="H12" s="5"/>
      <c r="I12" s="5"/>
    </row>
    <row r="13" spans="1:9" x14ac:dyDescent="0.35">
      <c r="A13" s="3" t="s">
        <v>11</v>
      </c>
      <c r="B13" s="5">
        <f>675</f>
        <v>675</v>
      </c>
      <c r="C13" s="5">
        <f>1425</f>
        <v>1425</v>
      </c>
      <c r="D13" s="5">
        <f>50</f>
        <v>50</v>
      </c>
      <c r="E13" s="5">
        <f t="shared" si="0"/>
        <v>2150</v>
      </c>
      <c r="G13" s="5">
        <f t="shared" si="1"/>
        <v>716.66666666666663</v>
      </c>
      <c r="H13" s="5"/>
      <c r="I13" s="5"/>
    </row>
    <row r="14" spans="1:9" x14ac:dyDescent="0.35">
      <c r="A14" s="3" t="s">
        <v>12</v>
      </c>
      <c r="B14" s="5">
        <f>3000</f>
        <v>3000</v>
      </c>
      <c r="C14" s="4"/>
      <c r="D14" s="4"/>
      <c r="E14" s="7">
        <v>0</v>
      </c>
      <c r="G14" s="4">
        <f t="shared" si="1"/>
        <v>0</v>
      </c>
      <c r="H14" s="4"/>
      <c r="I14" s="4"/>
    </row>
    <row r="15" spans="1:9" x14ac:dyDescent="0.35">
      <c r="A15" s="3" t="s">
        <v>13</v>
      </c>
      <c r="B15" s="6">
        <f>((((B10)+(B11))+(B12))+(B13))+(B14)</f>
        <v>44283.77</v>
      </c>
      <c r="C15" s="6">
        <f>((((C10)+(C11))+(C12))+(C13))+(C14)</f>
        <v>62332.76</v>
      </c>
      <c r="D15" s="6">
        <f>((((D10)+(D11))+(D12))+(D13))+(D14)</f>
        <v>42636.17</v>
      </c>
      <c r="E15" s="6">
        <f t="shared" si="0"/>
        <v>149252.70000000001</v>
      </c>
      <c r="F15">
        <f>(D15-B15)/B15</f>
        <v>-3.7205504409403234E-2</v>
      </c>
      <c r="G15" s="6">
        <f t="shared" si="1"/>
        <v>49750.9</v>
      </c>
      <c r="H15" s="6"/>
      <c r="I15" s="6"/>
    </row>
    <row r="16" spans="1:9" x14ac:dyDescent="0.35">
      <c r="A16" s="3" t="s">
        <v>14</v>
      </c>
      <c r="B16" s="5">
        <f>250</f>
        <v>250</v>
      </c>
      <c r="C16" s="5">
        <f>5315</f>
        <v>5315</v>
      </c>
      <c r="D16" s="5">
        <f>370</f>
        <v>370</v>
      </c>
      <c r="E16" s="5">
        <f t="shared" si="0"/>
        <v>5935</v>
      </c>
      <c r="G16" s="5">
        <f t="shared" si="1"/>
        <v>1978.3333333333333</v>
      </c>
      <c r="H16" s="5"/>
      <c r="I16" s="5"/>
    </row>
    <row r="17" spans="1:9" x14ac:dyDescent="0.35">
      <c r="A17" s="3" t="s">
        <v>153</v>
      </c>
      <c r="B17" s="5">
        <f>1240</f>
        <v>1240</v>
      </c>
      <c r="C17" s="4"/>
      <c r="D17" s="5">
        <f>1300</f>
        <v>1300</v>
      </c>
      <c r="E17" s="5">
        <f>((B17)+(C17))+(D17)</f>
        <v>2540</v>
      </c>
      <c r="G17" s="5">
        <f t="shared" si="1"/>
        <v>846.66666666666663</v>
      </c>
      <c r="H17" s="5"/>
      <c r="I17" s="5"/>
    </row>
    <row r="18" spans="1:9" x14ac:dyDescent="0.35">
      <c r="A18" s="3" t="s">
        <v>154</v>
      </c>
      <c r="B18" s="5">
        <f>6810</f>
        <v>6810</v>
      </c>
      <c r="C18" s="5">
        <f>3940</f>
        <v>3940</v>
      </c>
      <c r="D18" s="5">
        <f>6540</f>
        <v>6540</v>
      </c>
      <c r="E18" s="5">
        <f>((B18)+(C18))+(D18)</f>
        <v>17290</v>
      </c>
      <c r="G18" s="5">
        <f t="shared" si="1"/>
        <v>5763.333333333333</v>
      </c>
      <c r="H18" s="5"/>
      <c r="I18" s="5"/>
    </row>
    <row r="19" spans="1:9" x14ac:dyDescent="0.35">
      <c r="A19" s="3" t="s">
        <v>155</v>
      </c>
      <c r="B19" s="5">
        <f>6830</f>
        <v>6830</v>
      </c>
      <c r="C19" s="5">
        <f>8440</f>
        <v>8440</v>
      </c>
      <c r="D19" s="5">
        <f>5180</f>
        <v>5180</v>
      </c>
      <c r="E19" s="5">
        <f>((B19)+(C19))+(D19)</f>
        <v>20450</v>
      </c>
      <c r="G19" s="5">
        <f t="shared" si="1"/>
        <v>6816.666666666667</v>
      </c>
      <c r="H19" s="5"/>
      <c r="I19" s="5"/>
    </row>
    <row r="20" spans="1:9" x14ac:dyDescent="0.35">
      <c r="A20" s="3" t="s">
        <v>15</v>
      </c>
      <c r="B20" s="5">
        <f>370</f>
        <v>370</v>
      </c>
      <c r="C20" s="4"/>
      <c r="D20" s="4"/>
      <c r="E20" s="7">
        <v>0</v>
      </c>
      <c r="G20" s="4">
        <f t="shared" si="1"/>
        <v>0</v>
      </c>
      <c r="H20" s="4"/>
      <c r="I20" s="4"/>
    </row>
    <row r="21" spans="1:9" hidden="1" x14ac:dyDescent="0.35">
      <c r="A21" s="3" t="s">
        <v>16</v>
      </c>
      <c r="B21" s="4"/>
      <c r="C21" s="5"/>
      <c r="D21" s="4"/>
      <c r="E21" s="7">
        <v>0</v>
      </c>
      <c r="G21" s="4">
        <f t="shared" si="1"/>
        <v>0</v>
      </c>
      <c r="H21" s="4"/>
      <c r="I21" s="4"/>
    </row>
    <row r="22" spans="1:9" hidden="1" x14ac:dyDescent="0.35">
      <c r="A22" s="3" t="s">
        <v>17</v>
      </c>
      <c r="B22" s="4"/>
      <c r="C22" s="5"/>
      <c r="D22" s="4"/>
      <c r="E22" s="7">
        <v>0</v>
      </c>
      <c r="G22" s="4">
        <f t="shared" si="1"/>
        <v>0</v>
      </c>
      <c r="H22" s="4"/>
      <c r="I22" s="4"/>
    </row>
    <row r="23" spans="1:9" hidden="1" x14ac:dyDescent="0.35">
      <c r="A23" s="3" t="s">
        <v>18</v>
      </c>
      <c r="B23" s="4"/>
      <c r="C23" s="4"/>
      <c r="D23" s="5"/>
      <c r="E23" s="7">
        <v>0</v>
      </c>
      <c r="G23" s="5">
        <f t="shared" si="1"/>
        <v>0</v>
      </c>
      <c r="H23" s="5"/>
      <c r="I23" s="5"/>
    </row>
    <row r="24" spans="1:9" hidden="1" x14ac:dyDescent="0.35">
      <c r="A24" s="3" t="s">
        <v>19</v>
      </c>
      <c r="B24" s="4"/>
      <c r="C24" s="4"/>
      <c r="D24" s="5"/>
      <c r="E24" s="7">
        <v>0</v>
      </c>
      <c r="G24" s="5">
        <f t="shared" si="1"/>
        <v>0</v>
      </c>
      <c r="H24" s="5"/>
      <c r="I24" s="5"/>
    </row>
    <row r="25" spans="1:9" hidden="1" x14ac:dyDescent="0.35">
      <c r="A25" s="3" t="s">
        <v>20</v>
      </c>
      <c r="B25" s="4"/>
      <c r="C25" s="4"/>
      <c r="D25" s="5"/>
      <c r="E25" s="7">
        <v>0</v>
      </c>
      <c r="G25" s="5">
        <f t="shared" si="1"/>
        <v>0</v>
      </c>
      <c r="H25" s="5"/>
      <c r="I25" s="5"/>
    </row>
    <row r="26" spans="1:9" x14ac:dyDescent="0.35">
      <c r="A26" s="3" t="s">
        <v>21</v>
      </c>
      <c r="B26" s="5">
        <f>727.44</f>
        <v>727.44</v>
      </c>
      <c r="C26" s="4"/>
      <c r="D26" s="4"/>
      <c r="E26" s="7">
        <v>0</v>
      </c>
      <c r="G26" s="4">
        <f t="shared" si="1"/>
        <v>0</v>
      </c>
      <c r="H26" s="4"/>
      <c r="I26" s="4"/>
    </row>
    <row r="27" spans="1:9" x14ac:dyDescent="0.35">
      <c r="A27" s="3" t="s">
        <v>22</v>
      </c>
      <c r="B27" s="4"/>
      <c r="C27" s="5">
        <f>500</f>
        <v>500</v>
      </c>
      <c r="D27" s="4"/>
      <c r="E27" s="5">
        <f t="shared" si="0"/>
        <v>500</v>
      </c>
      <c r="G27" s="4">
        <f t="shared" si="1"/>
        <v>166.66666666666666</v>
      </c>
      <c r="H27" s="4"/>
      <c r="I27" s="4"/>
    </row>
    <row r="28" spans="1:9" x14ac:dyDescent="0.35">
      <c r="A28" s="3" t="s">
        <v>23</v>
      </c>
      <c r="B28" s="5">
        <f>100</f>
        <v>100</v>
      </c>
      <c r="C28" s="5">
        <f>-148.01</f>
        <v>-148.01</v>
      </c>
      <c r="D28" s="4"/>
      <c r="E28" s="5">
        <f t="shared" si="0"/>
        <v>-48.009999999999991</v>
      </c>
      <c r="G28" s="4">
        <f t="shared" si="1"/>
        <v>-16.00333333333333</v>
      </c>
      <c r="H28" s="4"/>
      <c r="I28" s="4"/>
    </row>
    <row r="29" spans="1:9" x14ac:dyDescent="0.35">
      <c r="A29" s="3" t="s">
        <v>24</v>
      </c>
      <c r="B29" s="8">
        <f>25220.14</f>
        <v>25220.14</v>
      </c>
      <c r="C29" s="4"/>
      <c r="D29" s="4"/>
      <c r="E29" s="5">
        <f t="shared" si="0"/>
        <v>25220.14</v>
      </c>
      <c r="G29" s="4">
        <f t="shared" si="1"/>
        <v>8406.7133333333331</v>
      </c>
      <c r="H29" s="4"/>
      <c r="I29" s="4"/>
    </row>
    <row r="30" spans="1:9" x14ac:dyDescent="0.35">
      <c r="A30" s="3" t="s">
        <v>25</v>
      </c>
      <c r="B30" s="4"/>
      <c r="C30" s="5">
        <f>1250</f>
        <v>1250</v>
      </c>
      <c r="D30" s="4"/>
      <c r="E30" s="5">
        <f t="shared" si="0"/>
        <v>1250</v>
      </c>
      <c r="G30" s="4">
        <f t="shared" si="1"/>
        <v>416.66666666666669</v>
      </c>
      <c r="H30" s="4"/>
      <c r="I30" s="4"/>
    </row>
    <row r="31" spans="1:9" x14ac:dyDescent="0.35">
      <c r="A31" s="3" t="s">
        <v>26</v>
      </c>
      <c r="B31" s="4"/>
      <c r="C31" s="5">
        <f>825</f>
        <v>825</v>
      </c>
      <c r="D31" s="5">
        <f>300</f>
        <v>300</v>
      </c>
      <c r="E31" s="7">
        <v>0</v>
      </c>
      <c r="G31" s="5">
        <f t="shared" si="1"/>
        <v>0</v>
      </c>
      <c r="H31" s="5"/>
      <c r="I31" s="5"/>
    </row>
    <row r="32" spans="1:9" x14ac:dyDescent="0.35">
      <c r="A32" s="3" t="s">
        <v>27</v>
      </c>
      <c r="B32" s="4"/>
      <c r="C32" s="5">
        <f>145</f>
        <v>145</v>
      </c>
      <c r="D32" s="4"/>
      <c r="E32" s="7">
        <v>0</v>
      </c>
      <c r="G32" s="4">
        <f t="shared" si="1"/>
        <v>0</v>
      </c>
      <c r="H32" s="4"/>
      <c r="I32" s="4"/>
    </row>
    <row r="33" spans="1:9" x14ac:dyDescent="0.35">
      <c r="A33" s="3" t="s">
        <v>28</v>
      </c>
      <c r="B33" s="6">
        <f>(B31)+(B32)</f>
        <v>0</v>
      </c>
      <c r="C33" s="6">
        <f>(C31)+(C32)</f>
        <v>970</v>
      </c>
      <c r="D33" s="6">
        <f>(D31)+(D32)</f>
        <v>300</v>
      </c>
      <c r="E33" s="6">
        <f t="shared" si="0"/>
        <v>1270</v>
      </c>
      <c r="G33" s="6">
        <f t="shared" si="1"/>
        <v>423.33333333333331</v>
      </c>
      <c r="H33" s="6"/>
      <c r="I33" s="6"/>
    </row>
    <row r="34" spans="1:9" x14ac:dyDescent="0.35">
      <c r="A34" s="3" t="s">
        <v>29</v>
      </c>
      <c r="B34" s="5">
        <f>352.65</f>
        <v>352.65</v>
      </c>
      <c r="C34" s="4"/>
      <c r="D34" s="4"/>
      <c r="E34" s="5">
        <f t="shared" si="0"/>
        <v>352.65</v>
      </c>
      <c r="G34" s="4">
        <f t="shared" si="1"/>
        <v>117.55</v>
      </c>
      <c r="H34" s="4"/>
      <c r="I34" s="4"/>
    </row>
    <row r="35" spans="1:9" x14ac:dyDescent="0.35">
      <c r="A35" s="3" t="s">
        <v>30</v>
      </c>
      <c r="B35" s="4"/>
      <c r="C35" s="4"/>
      <c r="D35" s="5">
        <f>54.07</f>
        <v>54.07</v>
      </c>
      <c r="E35" s="5">
        <f t="shared" si="0"/>
        <v>54.07</v>
      </c>
      <c r="G35" s="5">
        <f t="shared" si="1"/>
        <v>18.023333333333333</v>
      </c>
      <c r="H35" s="5"/>
      <c r="I35" s="5"/>
    </row>
    <row r="36" spans="1:9" x14ac:dyDescent="0.35">
      <c r="A36" s="3" t="s">
        <v>31</v>
      </c>
      <c r="B36" s="5">
        <f>6500</f>
        <v>6500</v>
      </c>
      <c r="C36" s="5">
        <f>12750</f>
        <v>12750</v>
      </c>
      <c r="D36" s="5">
        <f>12750</f>
        <v>12750</v>
      </c>
      <c r="E36" s="5">
        <f t="shared" si="0"/>
        <v>32000</v>
      </c>
      <c r="G36" s="5">
        <f t="shared" si="1"/>
        <v>10666.666666666666</v>
      </c>
      <c r="H36" s="5"/>
      <c r="I36" s="5"/>
    </row>
    <row r="37" spans="1:9" x14ac:dyDescent="0.35">
      <c r="A37" s="3" t="s">
        <v>32</v>
      </c>
      <c r="B37" s="5">
        <f>770.62</f>
        <v>770.62</v>
      </c>
      <c r="C37" s="4"/>
      <c r="D37" s="4"/>
      <c r="E37" s="5">
        <f t="shared" si="0"/>
        <v>770.62</v>
      </c>
      <c r="G37" s="4">
        <f t="shared" si="1"/>
        <v>256.87333333333333</v>
      </c>
      <c r="H37" s="4"/>
      <c r="I37" s="4"/>
    </row>
    <row r="38" spans="1:9" x14ac:dyDescent="0.35">
      <c r="A38" s="3" t="s">
        <v>33</v>
      </c>
      <c r="B38" s="6">
        <f>(((((((((((((((((((B16)+(B17))+(B18))+(B19))+(B20))+(B21))+(B22))+(B23))+(B24))+(B25))+(B26))+(B27))+(B28))+(B29))+(B30))+(B33))+(B34))+(B35))+(B36))+(B37)</f>
        <v>49170.850000000006</v>
      </c>
      <c r="C38" s="6">
        <f>(((((((((((((((((((C16)+(C17))+(C18))+(C19))+(C20))+(C21))+(C22))+(C23))+(C24))+(C25))+(C26))+(C27))+(C28))+(C29))+(C30))+(C33))+(C34))+(C35))+(C36))+(C37)</f>
        <v>33016.990000000005</v>
      </c>
      <c r="D38" s="6">
        <f>(((((((((((((((((((D16)+(D17))+(D18))+(D19))+(D20))+(D21))+(D22))+(D23))+(D24))+(D25))+(D26))+(D27))+(D28))+(D29))+(D30))+(D33))+(D34))+(D35))+(D36))+(D37)</f>
        <v>26494.07</v>
      </c>
      <c r="E38" s="6">
        <f>((B38)+(C38))+(D38)</f>
        <v>108681.91</v>
      </c>
      <c r="G38" s="6">
        <f t="shared" si="1"/>
        <v>36227.303333333337</v>
      </c>
      <c r="H38" s="6"/>
      <c r="I38" s="6"/>
    </row>
    <row r="39" spans="1:9" x14ac:dyDescent="0.35">
      <c r="A39" s="3" t="s">
        <v>34</v>
      </c>
      <c r="B39" s="4"/>
      <c r="C39" s="4"/>
      <c r="D39" s="4"/>
      <c r="E39" s="5">
        <f>((B39)+(C39))+(D39)</f>
        <v>0</v>
      </c>
      <c r="G39" s="4">
        <f t="shared" si="1"/>
        <v>0</v>
      </c>
      <c r="H39" s="4"/>
      <c r="I39" s="4"/>
    </row>
    <row r="40" spans="1:9" x14ac:dyDescent="0.35">
      <c r="A40" s="3" t="s">
        <v>35</v>
      </c>
      <c r="B40" s="4"/>
      <c r="C40" s="4"/>
      <c r="D40" s="4"/>
      <c r="E40" s="5">
        <f t="shared" ref="E40:E61" si="2">((B40)+(C40))+(D40)</f>
        <v>0</v>
      </c>
      <c r="G40" s="4">
        <f t="shared" si="1"/>
        <v>0</v>
      </c>
      <c r="H40" s="4"/>
      <c r="I40" s="4"/>
    </row>
    <row r="41" spans="1:9" x14ac:dyDescent="0.35">
      <c r="A41" s="3" t="s">
        <v>36</v>
      </c>
      <c r="B41" s="5">
        <f>20119.34</f>
        <v>20119.34</v>
      </c>
      <c r="C41" s="5">
        <f>23148.87</f>
        <v>23148.87</v>
      </c>
      <c r="D41" s="5">
        <f>13370.32</f>
        <v>13370.32</v>
      </c>
      <c r="E41" s="5">
        <f t="shared" si="2"/>
        <v>56638.53</v>
      </c>
      <c r="G41" s="5">
        <f t="shared" si="1"/>
        <v>18879.509999999998</v>
      </c>
      <c r="H41" s="5"/>
      <c r="I41" s="5"/>
    </row>
    <row r="42" spans="1:9" x14ac:dyDescent="0.35">
      <c r="A42" s="3" t="s">
        <v>37</v>
      </c>
      <c r="B42" s="6">
        <f>(B40)+(B41)</f>
        <v>20119.34</v>
      </c>
      <c r="C42" s="6">
        <f>(C40)+(C41)</f>
        <v>23148.87</v>
      </c>
      <c r="D42" s="6">
        <f>(D40)+(D41)</f>
        <v>13370.32</v>
      </c>
      <c r="E42" s="6">
        <f t="shared" si="2"/>
        <v>56638.53</v>
      </c>
      <c r="G42" s="6">
        <f t="shared" si="1"/>
        <v>18879.509999999998</v>
      </c>
      <c r="H42" s="6"/>
      <c r="I42" s="6"/>
    </row>
    <row r="43" spans="1:9" x14ac:dyDescent="0.35">
      <c r="A43" s="3" t="s">
        <v>38</v>
      </c>
      <c r="B43" s="6">
        <f>(B39)+(B42)</f>
        <v>20119.34</v>
      </c>
      <c r="C43" s="6">
        <f>(C39)+(C42)</f>
        <v>23148.87</v>
      </c>
      <c r="D43" s="6">
        <f>(D39)+(D42)</f>
        <v>13370.32</v>
      </c>
      <c r="E43" s="6">
        <f t="shared" si="2"/>
        <v>56638.53</v>
      </c>
      <c r="G43" s="6">
        <f t="shared" si="1"/>
        <v>18879.509999999998</v>
      </c>
      <c r="H43" s="6"/>
      <c r="I43" s="6"/>
    </row>
    <row r="44" spans="1:9" x14ac:dyDescent="0.35">
      <c r="A44" s="3" t="s">
        <v>39</v>
      </c>
      <c r="B44" s="4"/>
      <c r="C44" s="4"/>
      <c r="D44" s="4"/>
      <c r="E44" s="5">
        <f t="shared" si="2"/>
        <v>0</v>
      </c>
      <c r="G44" s="4">
        <f t="shared" si="1"/>
        <v>0</v>
      </c>
      <c r="H44" s="4"/>
      <c r="I44" s="4"/>
    </row>
    <row r="45" spans="1:9" x14ac:dyDescent="0.35">
      <c r="A45" s="3" t="s">
        <v>40</v>
      </c>
      <c r="B45" s="5">
        <f>340.47</f>
        <v>340.47</v>
      </c>
      <c r="C45" s="5">
        <f>210.38</f>
        <v>210.38</v>
      </c>
      <c r="D45" s="5">
        <f>93.76</f>
        <v>93.76</v>
      </c>
      <c r="E45" s="5">
        <f t="shared" si="2"/>
        <v>644.61</v>
      </c>
      <c r="G45" s="5">
        <f t="shared" si="1"/>
        <v>214.87</v>
      </c>
      <c r="H45" s="5"/>
      <c r="I45" s="5"/>
    </row>
    <row r="46" spans="1:9" x14ac:dyDescent="0.35">
      <c r="A46" s="3" t="s">
        <v>41</v>
      </c>
      <c r="B46" s="6">
        <f>(B44)+(B45)</f>
        <v>340.47</v>
      </c>
      <c r="C46" s="6">
        <f>(C44)+(C45)</f>
        <v>210.38</v>
      </c>
      <c r="D46" s="6">
        <f>(D44)+(D45)</f>
        <v>93.76</v>
      </c>
      <c r="E46" s="6">
        <f t="shared" si="2"/>
        <v>644.61</v>
      </c>
      <c r="G46" s="6">
        <f t="shared" si="1"/>
        <v>214.87</v>
      </c>
      <c r="H46" s="6"/>
      <c r="I46" s="6"/>
    </row>
    <row r="47" spans="1:9" x14ac:dyDescent="0.35">
      <c r="A47" s="3" t="s">
        <v>42</v>
      </c>
      <c r="B47" s="4"/>
      <c r="C47" s="5">
        <f>-250</f>
        <v>-250</v>
      </c>
      <c r="D47" s="4"/>
      <c r="E47" s="5">
        <f t="shared" si="2"/>
        <v>-250</v>
      </c>
      <c r="G47" s="4">
        <f t="shared" si="1"/>
        <v>-83.333333333333329</v>
      </c>
      <c r="H47" s="4"/>
      <c r="I47" s="4"/>
    </row>
    <row r="48" spans="1:9" x14ac:dyDescent="0.35">
      <c r="A48" s="3" t="s">
        <v>156</v>
      </c>
      <c r="B48" s="5">
        <f>25</f>
        <v>25</v>
      </c>
      <c r="C48" s="5">
        <f>70</f>
        <v>70</v>
      </c>
      <c r="D48" s="4"/>
      <c r="E48" s="5">
        <f t="shared" si="2"/>
        <v>95</v>
      </c>
      <c r="G48" s="4">
        <f t="shared" si="1"/>
        <v>31.666666666666668</v>
      </c>
      <c r="H48" s="4"/>
      <c r="I48" s="4"/>
    </row>
    <row r="49" spans="1:10" x14ac:dyDescent="0.35">
      <c r="A49" s="3" t="s">
        <v>157</v>
      </c>
      <c r="B49" s="5">
        <f>9945</f>
        <v>9945</v>
      </c>
      <c r="C49" s="5">
        <f>6355</f>
        <v>6355</v>
      </c>
      <c r="D49" s="5">
        <f>8060</f>
        <v>8060</v>
      </c>
      <c r="E49" s="5">
        <f t="shared" si="2"/>
        <v>24360</v>
      </c>
      <c r="G49" s="5">
        <f t="shared" si="1"/>
        <v>8120</v>
      </c>
      <c r="H49" s="5"/>
      <c r="I49" s="5"/>
    </row>
    <row r="50" spans="1:10" x14ac:dyDescent="0.35">
      <c r="A50" s="3" t="s">
        <v>158</v>
      </c>
      <c r="B50" s="5">
        <f>14457.5</f>
        <v>14457.5</v>
      </c>
      <c r="C50" s="5">
        <f>9039.87</f>
        <v>9039.8700000000008</v>
      </c>
      <c r="D50" s="5">
        <f>4570</f>
        <v>4570</v>
      </c>
      <c r="E50" s="5">
        <f t="shared" si="2"/>
        <v>28067.370000000003</v>
      </c>
      <c r="G50" s="5">
        <f t="shared" si="1"/>
        <v>9355.7900000000009</v>
      </c>
      <c r="H50" s="5"/>
      <c r="I50" s="5"/>
    </row>
    <row r="51" spans="1:10" x14ac:dyDescent="0.35">
      <c r="A51" s="3" t="s">
        <v>159</v>
      </c>
      <c r="B51" s="5">
        <f>25</f>
        <v>25</v>
      </c>
      <c r="C51" s="5"/>
      <c r="D51" s="5"/>
      <c r="E51" s="5">
        <f t="shared" si="2"/>
        <v>25</v>
      </c>
      <c r="G51" s="5">
        <f t="shared" si="1"/>
        <v>8.3333333333333339</v>
      </c>
      <c r="H51" s="5"/>
      <c r="I51" s="5"/>
    </row>
    <row r="52" spans="1:10" hidden="1" x14ac:dyDescent="0.35">
      <c r="A52" s="3" t="s">
        <v>43</v>
      </c>
      <c r="B52" s="4"/>
      <c r="C52" s="4"/>
      <c r="D52" s="5"/>
      <c r="E52" s="5">
        <f t="shared" si="2"/>
        <v>0</v>
      </c>
      <c r="G52" s="5">
        <f t="shared" si="1"/>
        <v>0</v>
      </c>
      <c r="H52" s="5"/>
      <c r="I52" s="5"/>
    </row>
    <row r="53" spans="1:10" x14ac:dyDescent="0.35">
      <c r="A53" s="3" t="s">
        <v>44</v>
      </c>
      <c r="B53" s="5">
        <f>20000</f>
        <v>20000</v>
      </c>
      <c r="C53" s="5">
        <f>7265</f>
        <v>7265</v>
      </c>
      <c r="D53" s="5">
        <f>800</f>
        <v>800</v>
      </c>
      <c r="E53" s="5">
        <f t="shared" si="2"/>
        <v>28065</v>
      </c>
      <c r="G53" s="5">
        <f t="shared" si="1"/>
        <v>9355</v>
      </c>
      <c r="H53" s="5"/>
      <c r="I53" s="5"/>
    </row>
    <row r="54" spans="1:10" x14ac:dyDescent="0.35">
      <c r="A54" s="3" t="s">
        <v>45</v>
      </c>
      <c r="B54" s="6">
        <f>((((((B47)+(B48))+(B49))+(B50))+(B51))+(B52))+(B53)</f>
        <v>44452.5</v>
      </c>
      <c r="C54" s="6">
        <f>((((((C47)+(C48))+(C49))+(C50))+(C51))+(C52))+(C53)</f>
        <v>22479.870000000003</v>
      </c>
      <c r="D54" s="6">
        <f>((((((D47)+(D48))+(D49))+(D50))+(D51))+(D52))+(D53)</f>
        <v>13430</v>
      </c>
      <c r="E54" s="6">
        <f t="shared" si="2"/>
        <v>80362.37</v>
      </c>
      <c r="G54" s="6">
        <f t="shared" si="1"/>
        <v>26787.456666666665</v>
      </c>
      <c r="H54" s="6"/>
      <c r="I54" s="6"/>
    </row>
    <row r="55" spans="1:10" x14ac:dyDescent="0.35">
      <c r="A55" s="3" t="s">
        <v>46</v>
      </c>
      <c r="B55" s="4"/>
      <c r="C55" s="5">
        <f>0.06</f>
        <v>0.06</v>
      </c>
      <c r="D55" s="4"/>
      <c r="E55" s="5">
        <f t="shared" si="2"/>
        <v>0.06</v>
      </c>
      <c r="G55" s="4">
        <f t="shared" si="1"/>
        <v>0.02</v>
      </c>
      <c r="H55" s="4"/>
      <c r="I55" s="4"/>
    </row>
    <row r="56" spans="1:10" x14ac:dyDescent="0.35">
      <c r="A56" s="3" t="s">
        <v>47</v>
      </c>
      <c r="B56" s="5">
        <f>5029.24</f>
        <v>5029.24</v>
      </c>
      <c r="C56" s="5">
        <f>655.55</f>
        <v>655.55</v>
      </c>
      <c r="D56" s="5">
        <f>4992.01</f>
        <v>4992.01</v>
      </c>
      <c r="E56" s="5">
        <f t="shared" si="2"/>
        <v>10676.8</v>
      </c>
      <c r="G56" s="5">
        <f t="shared" si="1"/>
        <v>3558.9333333333329</v>
      </c>
      <c r="H56" s="5"/>
      <c r="I56" s="5"/>
    </row>
    <row r="57" spans="1:10" x14ac:dyDescent="0.35">
      <c r="A57" s="3" t="s">
        <v>48</v>
      </c>
      <c r="B57" s="6">
        <f>(B55)+(B56)</f>
        <v>5029.24</v>
      </c>
      <c r="C57" s="6">
        <f>(C55)+(C56)</f>
        <v>655.6099999999999</v>
      </c>
      <c r="D57" s="6">
        <f>(D55)+(D56)</f>
        <v>4992.01</v>
      </c>
      <c r="E57" s="6">
        <f t="shared" si="2"/>
        <v>10676.86</v>
      </c>
      <c r="G57" s="6">
        <f t="shared" si="1"/>
        <v>3558.9533333333334</v>
      </c>
      <c r="H57" s="6"/>
      <c r="I57" s="6"/>
    </row>
    <row r="58" spans="1:10" x14ac:dyDescent="0.35">
      <c r="A58" s="3" t="s">
        <v>49</v>
      </c>
      <c r="B58" s="4"/>
      <c r="C58" s="5">
        <f>8581.28</f>
        <v>8581.2800000000007</v>
      </c>
      <c r="D58" s="5">
        <f>2618.95</f>
        <v>2618.9499999999998</v>
      </c>
      <c r="E58" s="5">
        <f t="shared" si="2"/>
        <v>11200.23</v>
      </c>
      <c r="G58" s="5">
        <f t="shared" si="1"/>
        <v>3733.41</v>
      </c>
      <c r="H58" s="5"/>
      <c r="I58" s="5"/>
    </row>
    <row r="59" spans="1:10" x14ac:dyDescent="0.35">
      <c r="A59" s="3" t="s">
        <v>50</v>
      </c>
      <c r="B59" s="5">
        <f>265</f>
        <v>265</v>
      </c>
      <c r="C59" s="5">
        <f>1105</f>
        <v>1105</v>
      </c>
      <c r="D59" s="5">
        <f>-1215</f>
        <v>-1215</v>
      </c>
      <c r="E59" s="5">
        <f t="shared" si="2"/>
        <v>155</v>
      </c>
      <c r="G59" s="5">
        <f t="shared" si="1"/>
        <v>51.666666666666664</v>
      </c>
      <c r="H59" s="5"/>
      <c r="I59" s="5"/>
    </row>
    <row r="60" spans="1:10" x14ac:dyDescent="0.35">
      <c r="A60" s="3" t="s">
        <v>51</v>
      </c>
      <c r="B60" s="6">
        <f>((((((((B9)+(B15))+(B38))+(B43))+(B46))+(B54))+(B57))+(B58))+(B59)</f>
        <v>165661.16999999998</v>
      </c>
      <c r="C60" s="6">
        <f>((((((((C9)+(C15))+(C38))+(C43))+(C46))+(C54))+(C57))+(C58))+(C59)</f>
        <v>151530.75999999998</v>
      </c>
      <c r="D60" s="6">
        <f>((((((((D9)+(D15))+(D38))+(D43))+(D46))+(D54))+(D57))+(D58))+(D59)</f>
        <v>102420.27999999998</v>
      </c>
      <c r="E60" s="6">
        <f t="shared" si="2"/>
        <v>419612.2099999999</v>
      </c>
      <c r="G60" s="6">
        <f t="shared" si="1"/>
        <v>139870.73666666663</v>
      </c>
      <c r="H60" s="6"/>
      <c r="I60" s="6"/>
    </row>
    <row r="61" spans="1:10" x14ac:dyDescent="0.35">
      <c r="A61" s="10" t="s">
        <v>52</v>
      </c>
      <c r="B61" s="11">
        <f>(B60)-(0)</f>
        <v>165661.16999999998</v>
      </c>
      <c r="C61" s="11">
        <f>(C60)-(0)</f>
        <v>151530.75999999998</v>
      </c>
      <c r="D61" s="11">
        <f>(D60)-(0)</f>
        <v>102420.27999999998</v>
      </c>
      <c r="E61" s="11">
        <f t="shared" si="2"/>
        <v>419612.2099999999</v>
      </c>
      <c r="F61" s="12"/>
      <c r="G61" s="11">
        <f t="shared" si="1"/>
        <v>139870.73666666663</v>
      </c>
      <c r="H61" s="11"/>
      <c r="I61" s="11"/>
      <c r="J61" s="12"/>
    </row>
    <row r="62" spans="1:10" x14ac:dyDescent="0.35">
      <c r="A62" s="3" t="s">
        <v>53</v>
      </c>
      <c r="B62" s="4"/>
      <c r="C62" s="4"/>
      <c r="D62" s="4"/>
      <c r="E62" s="4"/>
      <c r="G62" s="4">
        <f t="shared" si="1"/>
        <v>0</v>
      </c>
      <c r="H62" s="4"/>
      <c r="I62" s="4"/>
    </row>
    <row r="63" spans="1:10" x14ac:dyDescent="0.35">
      <c r="A63" s="3" t="s">
        <v>54</v>
      </c>
      <c r="B63" s="5">
        <f>288.24</f>
        <v>288.24</v>
      </c>
      <c r="C63" s="5">
        <f>326.96</f>
        <v>326.95999999999998</v>
      </c>
      <c r="D63" s="4"/>
      <c r="E63" s="5">
        <f t="shared" ref="E63:E94" si="3">((B63)+(C63))+(D63)</f>
        <v>615.20000000000005</v>
      </c>
      <c r="G63" s="4">
        <f t="shared" si="1"/>
        <v>205.06666666666669</v>
      </c>
      <c r="H63" s="4"/>
      <c r="I63" s="4"/>
    </row>
    <row r="64" spans="1:10" x14ac:dyDescent="0.35">
      <c r="A64" s="3" t="s">
        <v>55</v>
      </c>
      <c r="B64" s="5">
        <f>100</f>
        <v>100</v>
      </c>
      <c r="C64" s="5">
        <f>454.28</f>
        <v>454.28</v>
      </c>
      <c r="D64" s="4"/>
      <c r="E64" s="5">
        <f t="shared" si="3"/>
        <v>554.28</v>
      </c>
      <c r="G64" s="4">
        <f t="shared" si="1"/>
        <v>184.76</v>
      </c>
      <c r="H64" s="4"/>
      <c r="I64" s="4"/>
    </row>
    <row r="65" spans="1:9" x14ac:dyDescent="0.35">
      <c r="A65" s="3" t="s">
        <v>56</v>
      </c>
      <c r="B65" s="5">
        <f>6878.62</f>
        <v>6878.62</v>
      </c>
      <c r="C65" s="5">
        <f>4704.86</f>
        <v>4704.8599999999997</v>
      </c>
      <c r="D65" s="5">
        <f>125</f>
        <v>125</v>
      </c>
      <c r="E65" s="5">
        <f t="shared" si="3"/>
        <v>11708.48</v>
      </c>
      <c r="G65" s="5">
        <f t="shared" si="1"/>
        <v>3902.8266666666664</v>
      </c>
      <c r="H65" s="5"/>
      <c r="I65" s="5"/>
    </row>
    <row r="66" spans="1:9" x14ac:dyDescent="0.35">
      <c r="A66" s="3" t="s">
        <v>57</v>
      </c>
      <c r="B66" s="5">
        <f>1426.73</f>
        <v>1426.73</v>
      </c>
      <c r="C66" s="5">
        <f>847.35</f>
        <v>847.35</v>
      </c>
      <c r="D66" s="4"/>
      <c r="E66" s="5">
        <f t="shared" si="3"/>
        <v>2274.08</v>
      </c>
      <c r="G66" s="4">
        <f t="shared" si="1"/>
        <v>758.02666666666664</v>
      </c>
      <c r="H66" s="4"/>
      <c r="I66" s="4"/>
    </row>
    <row r="67" spans="1:9" x14ac:dyDescent="0.35">
      <c r="A67" s="3" t="s">
        <v>58</v>
      </c>
      <c r="B67" s="5">
        <f>2189.58</f>
        <v>2189.58</v>
      </c>
      <c r="C67" s="5">
        <f>2761.55</f>
        <v>2761.55</v>
      </c>
      <c r="D67" s="5">
        <f>1075.65</f>
        <v>1075.6500000000001</v>
      </c>
      <c r="E67" s="5">
        <f t="shared" si="3"/>
        <v>6026.7800000000007</v>
      </c>
      <c r="G67" s="5">
        <f t="shared" si="1"/>
        <v>2008.926666666667</v>
      </c>
      <c r="H67" s="5"/>
      <c r="I67" s="5"/>
    </row>
    <row r="68" spans="1:9" x14ac:dyDescent="0.35">
      <c r="A68" s="3" t="s">
        <v>59</v>
      </c>
      <c r="B68" s="5">
        <f>409.42</f>
        <v>409.42</v>
      </c>
      <c r="C68" s="5">
        <f>142.68</f>
        <v>142.68</v>
      </c>
      <c r="D68" s="5">
        <f>1.24</f>
        <v>1.24</v>
      </c>
      <c r="E68" s="5">
        <f t="shared" si="3"/>
        <v>553.34</v>
      </c>
      <c r="G68" s="5">
        <f t="shared" si="1"/>
        <v>184.44666666666669</v>
      </c>
      <c r="H68" s="5"/>
      <c r="I68" s="5"/>
    </row>
    <row r="69" spans="1:9" x14ac:dyDescent="0.35">
      <c r="A69" s="3" t="s">
        <v>60</v>
      </c>
      <c r="B69" s="4"/>
      <c r="C69" s="4"/>
      <c r="D69" s="5">
        <f>1022.15</f>
        <v>1022.15</v>
      </c>
      <c r="E69" s="5">
        <f t="shared" si="3"/>
        <v>1022.15</v>
      </c>
      <c r="G69" s="5">
        <f t="shared" si="1"/>
        <v>340.71666666666664</v>
      </c>
      <c r="H69" s="5"/>
      <c r="I69" s="5"/>
    </row>
    <row r="70" spans="1:9" x14ac:dyDescent="0.35">
      <c r="A70" s="3" t="s">
        <v>61</v>
      </c>
      <c r="B70" s="5">
        <f>10668</f>
        <v>10668</v>
      </c>
      <c r="C70" s="5">
        <f>10668</f>
        <v>10668</v>
      </c>
      <c r="D70" s="5">
        <f>10668</f>
        <v>10668</v>
      </c>
      <c r="E70" s="5">
        <f t="shared" si="3"/>
        <v>32004</v>
      </c>
      <c r="G70" s="5">
        <f t="shared" si="1"/>
        <v>10668</v>
      </c>
      <c r="H70" s="5"/>
      <c r="I70" s="5"/>
    </row>
    <row r="71" spans="1:9" x14ac:dyDescent="0.35">
      <c r="A71" s="3" t="s">
        <v>62</v>
      </c>
      <c r="B71" s="4"/>
      <c r="C71" s="5">
        <f>624.66</f>
        <v>624.66</v>
      </c>
      <c r="D71" s="4"/>
      <c r="E71" s="5">
        <f t="shared" si="3"/>
        <v>624.66</v>
      </c>
      <c r="G71" s="4">
        <f t="shared" si="1"/>
        <v>208.22</v>
      </c>
      <c r="H71" s="4"/>
      <c r="I71" s="4"/>
    </row>
    <row r="72" spans="1:9" x14ac:dyDescent="0.35">
      <c r="A72" s="3" t="s">
        <v>63</v>
      </c>
      <c r="B72" s="6">
        <f>(((((((B64)+(B65))+(B66))+(B67))+(B68))+(B69))+(B70))+(B71)</f>
        <v>21672.35</v>
      </c>
      <c r="C72" s="6">
        <f>(((((((C64)+(C65))+(C66))+(C67))+(C68))+(C69))+(C70))+(C71)</f>
        <v>20203.38</v>
      </c>
      <c r="D72" s="6">
        <f>(((((((D64)+(D65))+(D66))+(D67))+(D68))+(D69))+(D70))+(D71)</f>
        <v>12892.04</v>
      </c>
      <c r="E72" s="6">
        <f t="shared" si="3"/>
        <v>54767.77</v>
      </c>
      <c r="G72" s="6">
        <f t="shared" si="1"/>
        <v>18255.923333333332</v>
      </c>
      <c r="H72" s="6"/>
      <c r="I72" s="6"/>
    </row>
    <row r="73" spans="1:9" x14ac:dyDescent="0.35">
      <c r="A73" s="3" t="s">
        <v>64</v>
      </c>
      <c r="B73" s="5">
        <f>1860</f>
        <v>1860</v>
      </c>
      <c r="C73" s="5">
        <f>9105.97</f>
        <v>9105.9699999999993</v>
      </c>
      <c r="D73" s="5">
        <f>8000</f>
        <v>8000</v>
      </c>
      <c r="E73" s="5">
        <f t="shared" si="3"/>
        <v>18965.97</v>
      </c>
      <c r="G73" s="5">
        <f t="shared" si="1"/>
        <v>6321.9900000000007</v>
      </c>
      <c r="H73" s="5"/>
      <c r="I73" s="5"/>
    </row>
    <row r="74" spans="1:9" x14ac:dyDescent="0.35">
      <c r="A74" s="3" t="s">
        <v>65</v>
      </c>
      <c r="B74" s="5">
        <f>78</f>
        <v>78</v>
      </c>
      <c r="C74" s="5">
        <f>26</f>
        <v>26</v>
      </c>
      <c r="D74" s="5">
        <f>56</f>
        <v>56</v>
      </c>
      <c r="E74" s="5">
        <f t="shared" si="3"/>
        <v>160</v>
      </c>
      <c r="G74" s="5">
        <f t="shared" ref="G74:G137" si="4">E74/3</f>
        <v>53.333333333333336</v>
      </c>
      <c r="H74" s="5"/>
      <c r="I74" s="5"/>
    </row>
    <row r="75" spans="1:9" x14ac:dyDescent="0.35">
      <c r="A75" s="3" t="s">
        <v>66</v>
      </c>
      <c r="B75" s="5">
        <f>450</f>
        <v>450</v>
      </c>
      <c r="C75" s="4"/>
      <c r="D75" s="4"/>
      <c r="E75" s="5">
        <f t="shared" si="3"/>
        <v>450</v>
      </c>
      <c r="G75" s="4">
        <f t="shared" si="4"/>
        <v>150</v>
      </c>
      <c r="H75" s="4"/>
      <c r="I75" s="4"/>
    </row>
    <row r="76" spans="1:9" x14ac:dyDescent="0.35">
      <c r="A76" s="3" t="s">
        <v>67</v>
      </c>
      <c r="B76" s="6">
        <f>((B73)+(B74))+(B75)</f>
        <v>2388</v>
      </c>
      <c r="C76" s="6">
        <f>((C73)+(C74))+(C75)</f>
        <v>9131.9699999999993</v>
      </c>
      <c r="D76" s="6">
        <f>((D73)+(D74))+(D75)</f>
        <v>8056</v>
      </c>
      <c r="E76" s="6">
        <f t="shared" si="3"/>
        <v>19575.97</v>
      </c>
      <c r="G76" s="6">
        <f t="shared" si="4"/>
        <v>6525.3233333333337</v>
      </c>
      <c r="H76" s="6"/>
      <c r="I76" s="6"/>
    </row>
    <row r="77" spans="1:9" x14ac:dyDescent="0.35">
      <c r="A77" s="3" t="s">
        <v>68</v>
      </c>
      <c r="B77" s="5">
        <f>2993.34</f>
        <v>2993.34</v>
      </c>
      <c r="C77" s="4"/>
      <c r="D77" s="4"/>
      <c r="E77" s="5">
        <f t="shared" si="3"/>
        <v>2993.34</v>
      </c>
      <c r="G77" s="4">
        <f t="shared" si="4"/>
        <v>997.78000000000009</v>
      </c>
      <c r="H77" s="4"/>
      <c r="I77" s="4"/>
    </row>
    <row r="78" spans="1:9" x14ac:dyDescent="0.35">
      <c r="A78" s="3" t="s">
        <v>69</v>
      </c>
      <c r="B78" s="5">
        <f>1172.55</f>
        <v>1172.55</v>
      </c>
      <c r="C78" s="5">
        <f>1515</f>
        <v>1515</v>
      </c>
      <c r="D78" s="5">
        <f>6184.24</f>
        <v>6184.24</v>
      </c>
      <c r="E78" s="5">
        <f t="shared" si="3"/>
        <v>8871.7900000000009</v>
      </c>
      <c r="G78" s="5">
        <f t="shared" si="4"/>
        <v>2957.2633333333338</v>
      </c>
      <c r="H78" s="5"/>
      <c r="I78" s="5"/>
    </row>
    <row r="79" spans="1:9" x14ac:dyDescent="0.35">
      <c r="A79" s="3" t="s">
        <v>70</v>
      </c>
      <c r="B79" s="4"/>
      <c r="C79" s="4"/>
      <c r="D79" s="5">
        <f>524</f>
        <v>524</v>
      </c>
      <c r="E79" s="5">
        <f t="shared" si="3"/>
        <v>524</v>
      </c>
      <c r="G79" s="5">
        <f t="shared" si="4"/>
        <v>174.66666666666666</v>
      </c>
      <c r="H79" s="5"/>
      <c r="I79" s="5"/>
    </row>
    <row r="80" spans="1:9" x14ac:dyDescent="0.35">
      <c r="A80" s="3" t="s">
        <v>71</v>
      </c>
      <c r="B80" s="4"/>
      <c r="C80" s="4"/>
      <c r="D80" s="9">
        <f>5697.1</f>
        <v>5697.1</v>
      </c>
      <c r="E80" s="5">
        <f t="shared" si="3"/>
        <v>5697.1</v>
      </c>
      <c r="G80" s="9">
        <f t="shared" si="4"/>
        <v>1899.0333333333335</v>
      </c>
      <c r="H80" s="9"/>
      <c r="I80" s="9"/>
    </row>
    <row r="81" spans="1:9" x14ac:dyDescent="0.35">
      <c r="A81" s="3" t="s">
        <v>72</v>
      </c>
      <c r="B81" s="5">
        <f>810.03</f>
        <v>810.03</v>
      </c>
      <c r="C81" s="4"/>
      <c r="D81" s="4"/>
      <c r="E81" s="5">
        <f t="shared" si="3"/>
        <v>810.03</v>
      </c>
      <c r="G81" s="4">
        <f t="shared" si="4"/>
        <v>270.01</v>
      </c>
      <c r="H81" s="4"/>
      <c r="I81" s="4"/>
    </row>
    <row r="82" spans="1:9" x14ac:dyDescent="0.35">
      <c r="A82" s="3" t="s">
        <v>73</v>
      </c>
      <c r="B82" s="5">
        <f>99.99</f>
        <v>99.99</v>
      </c>
      <c r="C82" s="4"/>
      <c r="D82" s="4"/>
      <c r="E82" s="5">
        <f t="shared" si="3"/>
        <v>99.99</v>
      </c>
      <c r="G82" s="4">
        <f t="shared" si="4"/>
        <v>33.33</v>
      </c>
      <c r="H82" s="4"/>
      <c r="I82" s="4"/>
    </row>
    <row r="83" spans="1:9" x14ac:dyDescent="0.35">
      <c r="A83" s="3" t="s">
        <v>74</v>
      </c>
      <c r="B83" s="5">
        <f>1700</f>
        <v>1700</v>
      </c>
      <c r="C83" s="5">
        <f>1125</f>
        <v>1125</v>
      </c>
      <c r="D83" s="5">
        <f>25</f>
        <v>25</v>
      </c>
      <c r="E83" s="5">
        <f t="shared" si="3"/>
        <v>2850</v>
      </c>
      <c r="G83" s="5">
        <f t="shared" si="4"/>
        <v>950</v>
      </c>
      <c r="H83" s="5"/>
      <c r="I83" s="5"/>
    </row>
    <row r="84" spans="1:9" x14ac:dyDescent="0.35">
      <c r="A84" s="3" t="s">
        <v>75</v>
      </c>
      <c r="B84" s="5">
        <f>4665.07</f>
        <v>4665.07</v>
      </c>
      <c r="C84" s="5">
        <f>6698.95</f>
        <v>6698.95</v>
      </c>
      <c r="D84" s="5">
        <f>1087.55</f>
        <v>1087.55</v>
      </c>
      <c r="E84" s="5">
        <f t="shared" si="3"/>
        <v>12451.57</v>
      </c>
      <c r="G84" s="5">
        <f t="shared" si="4"/>
        <v>4150.5233333333335</v>
      </c>
      <c r="H84" s="5"/>
      <c r="I84" s="5"/>
    </row>
    <row r="85" spans="1:9" x14ac:dyDescent="0.35">
      <c r="A85" s="3" t="s">
        <v>76</v>
      </c>
      <c r="B85" s="5">
        <f>5322.46</f>
        <v>5322.46</v>
      </c>
      <c r="C85" s="4"/>
      <c r="D85" s="4"/>
      <c r="E85" s="7">
        <v>0</v>
      </c>
      <c r="G85" s="4">
        <f t="shared" si="4"/>
        <v>0</v>
      </c>
      <c r="H85" s="4"/>
      <c r="I85" s="4"/>
    </row>
    <row r="86" spans="1:9" x14ac:dyDescent="0.35">
      <c r="A86" s="3" t="s">
        <v>77</v>
      </c>
      <c r="B86" s="6">
        <f>(B84)+(B85)</f>
        <v>9987.5299999999988</v>
      </c>
      <c r="C86" s="6">
        <f>(C84)+(C85)</f>
        <v>6698.95</v>
      </c>
      <c r="D86" s="6">
        <f>(D84)+(D85)</f>
        <v>1087.55</v>
      </c>
      <c r="E86" s="6">
        <f t="shared" si="3"/>
        <v>17774.03</v>
      </c>
      <c r="G86" s="6">
        <f t="shared" si="4"/>
        <v>5924.6766666666663</v>
      </c>
      <c r="H86" s="6"/>
      <c r="I86" s="6"/>
    </row>
    <row r="87" spans="1:9" x14ac:dyDescent="0.35">
      <c r="A87" s="3" t="s">
        <v>78</v>
      </c>
      <c r="B87" s="4"/>
      <c r="C87" s="4"/>
      <c r="D87" s="4"/>
      <c r="E87" s="5">
        <f t="shared" si="3"/>
        <v>0</v>
      </c>
      <c r="G87" s="4">
        <f t="shared" si="4"/>
        <v>0</v>
      </c>
      <c r="H87" s="4"/>
      <c r="I87" s="4"/>
    </row>
    <row r="88" spans="1:9" x14ac:dyDescent="0.35">
      <c r="A88" s="3" t="s">
        <v>79</v>
      </c>
      <c r="B88" s="5">
        <f>447.95</f>
        <v>447.95</v>
      </c>
      <c r="C88" s="4"/>
      <c r="D88" s="4"/>
      <c r="E88" s="7">
        <v>0</v>
      </c>
      <c r="G88" s="4">
        <f t="shared" si="4"/>
        <v>0</v>
      </c>
      <c r="H88" s="4"/>
      <c r="I88" s="4"/>
    </row>
    <row r="89" spans="1:9" x14ac:dyDescent="0.35">
      <c r="A89" s="3" t="s">
        <v>80</v>
      </c>
      <c r="B89" s="5">
        <f>150.03</f>
        <v>150.03</v>
      </c>
      <c r="C89" s="5">
        <f>29.59</f>
        <v>29.59</v>
      </c>
      <c r="D89" s="4"/>
      <c r="E89" s="7">
        <v>0</v>
      </c>
      <c r="G89" s="4">
        <f t="shared" si="4"/>
        <v>0</v>
      </c>
      <c r="H89" s="4"/>
      <c r="I89" s="4"/>
    </row>
    <row r="90" spans="1:9" x14ac:dyDescent="0.35">
      <c r="A90" s="3" t="s">
        <v>81</v>
      </c>
      <c r="B90" s="6">
        <f>((B87)+(B88))+(B89)</f>
        <v>597.98</v>
      </c>
      <c r="C90" s="6">
        <f>((C87)+(C88))+(C89)</f>
        <v>29.59</v>
      </c>
      <c r="D90" s="6">
        <f>((D87)+(D88))+(D89)</f>
        <v>0</v>
      </c>
      <c r="E90" s="6">
        <f t="shared" si="3"/>
        <v>627.57000000000005</v>
      </c>
      <c r="G90" s="6">
        <f t="shared" si="4"/>
        <v>209.19000000000003</v>
      </c>
      <c r="H90" s="6"/>
      <c r="I90" s="6"/>
    </row>
    <row r="91" spans="1:9" x14ac:dyDescent="0.35">
      <c r="A91" s="3" t="s">
        <v>82</v>
      </c>
      <c r="B91" s="4"/>
      <c r="C91" s="5">
        <f>90</f>
        <v>90</v>
      </c>
      <c r="D91" s="5">
        <f>14440</f>
        <v>14440</v>
      </c>
      <c r="E91" s="5">
        <f t="shared" si="3"/>
        <v>14530</v>
      </c>
      <c r="G91" s="5">
        <f t="shared" si="4"/>
        <v>4843.333333333333</v>
      </c>
      <c r="H91" s="5"/>
      <c r="I91" s="5"/>
    </row>
    <row r="92" spans="1:9" x14ac:dyDescent="0.35">
      <c r="A92" s="3" t="s">
        <v>83</v>
      </c>
      <c r="B92" s="5">
        <f>334.95</f>
        <v>334.95</v>
      </c>
      <c r="C92" s="5">
        <f>1443.06</f>
        <v>1443.06</v>
      </c>
      <c r="D92" s="5">
        <f>807.68</f>
        <v>807.68</v>
      </c>
      <c r="E92" s="5">
        <f t="shared" si="3"/>
        <v>2585.69</v>
      </c>
      <c r="G92" s="5">
        <f t="shared" si="4"/>
        <v>861.89666666666665</v>
      </c>
      <c r="H92" s="5"/>
      <c r="I92" s="5"/>
    </row>
    <row r="93" spans="1:9" x14ac:dyDescent="0.35">
      <c r="A93" s="3" t="s">
        <v>84</v>
      </c>
      <c r="B93" s="4"/>
      <c r="C93" s="5">
        <f>21.9</f>
        <v>21.9</v>
      </c>
      <c r="D93" s="5">
        <f>19.28</f>
        <v>19.28</v>
      </c>
      <c r="E93" s="5">
        <f t="shared" si="3"/>
        <v>41.18</v>
      </c>
      <c r="G93" s="5">
        <f t="shared" si="4"/>
        <v>13.726666666666667</v>
      </c>
      <c r="H93" s="5"/>
      <c r="I93" s="5"/>
    </row>
    <row r="94" spans="1:9" x14ac:dyDescent="0.35">
      <c r="A94" s="3" t="s">
        <v>85</v>
      </c>
      <c r="B94" s="5">
        <f>234.18</f>
        <v>234.18</v>
      </c>
      <c r="C94" s="5">
        <f>403.9</f>
        <v>403.9</v>
      </c>
      <c r="D94" s="5">
        <f>1000</f>
        <v>1000</v>
      </c>
      <c r="E94" s="5">
        <f t="shared" si="3"/>
        <v>1638.08</v>
      </c>
      <c r="G94" s="5">
        <f t="shared" si="4"/>
        <v>546.02666666666664</v>
      </c>
      <c r="H94" s="5"/>
      <c r="I94" s="5"/>
    </row>
    <row r="95" spans="1:9" x14ac:dyDescent="0.35">
      <c r="A95" s="3" t="s">
        <v>86</v>
      </c>
      <c r="B95" s="6">
        <f>(((((((((((B78)+(B79))+(B80))+(B81))+(B82))+(B83))+(B86))+(B90))+(B91))+(B92))+(B93))+(B94)</f>
        <v>14937.21</v>
      </c>
      <c r="C95" s="6">
        <f>(((((((((((C78)+(C79))+(C80))+(C81))+(C82))+(C83))+(C86))+(C90))+(C91))+(C92))+(C93))+(C94)</f>
        <v>11327.4</v>
      </c>
      <c r="D95" s="6">
        <f>(((((((((((D78)+(D79))+(D80))+(D81))+(D82))+(D83))+(D86))+(D90))+(D91))+(D92))+(D93))+(D94)</f>
        <v>29784.85</v>
      </c>
      <c r="E95" s="6">
        <f t="shared" ref="E95:E126" si="5">((B95)+(C95))+(D95)</f>
        <v>56049.46</v>
      </c>
      <c r="G95" s="6">
        <f t="shared" si="4"/>
        <v>18683.153333333332</v>
      </c>
      <c r="H95" s="6"/>
      <c r="I95" s="6"/>
    </row>
    <row r="96" spans="1:9" x14ac:dyDescent="0.35">
      <c r="A96" s="3" t="s">
        <v>87</v>
      </c>
      <c r="B96" s="5">
        <f>3300</f>
        <v>3300</v>
      </c>
      <c r="C96" s="5">
        <f>2700</f>
        <v>2700</v>
      </c>
      <c r="D96" s="5">
        <f>2400</f>
        <v>2400</v>
      </c>
      <c r="E96" s="5">
        <f t="shared" si="5"/>
        <v>8400</v>
      </c>
      <c r="G96" s="5">
        <f t="shared" si="4"/>
        <v>2800</v>
      </c>
      <c r="H96" s="5"/>
      <c r="I96" s="5"/>
    </row>
    <row r="97" spans="1:9" x14ac:dyDescent="0.35">
      <c r="A97" s="3" t="s">
        <v>88</v>
      </c>
      <c r="B97" s="5">
        <f>3726.18</f>
        <v>3726.18</v>
      </c>
      <c r="C97" s="5">
        <f>6750</f>
        <v>6750</v>
      </c>
      <c r="D97" s="5">
        <f>930.56</f>
        <v>930.56</v>
      </c>
      <c r="E97" s="5">
        <f t="shared" si="5"/>
        <v>11406.74</v>
      </c>
      <c r="G97" s="5">
        <f t="shared" si="4"/>
        <v>3802.2466666666664</v>
      </c>
      <c r="H97" s="5"/>
      <c r="I97" s="5"/>
    </row>
    <row r="98" spans="1:9" x14ac:dyDescent="0.35">
      <c r="A98" s="3" t="s">
        <v>89</v>
      </c>
      <c r="B98" s="4"/>
      <c r="C98" s="5">
        <f>1150</f>
        <v>1150</v>
      </c>
      <c r="D98" s="5">
        <f>136.74</f>
        <v>136.74</v>
      </c>
      <c r="E98" s="5">
        <f t="shared" si="5"/>
        <v>1286.74</v>
      </c>
      <c r="G98" s="5">
        <f t="shared" si="4"/>
        <v>428.91333333333336</v>
      </c>
      <c r="H98" s="5"/>
      <c r="I98" s="5"/>
    </row>
    <row r="99" spans="1:9" x14ac:dyDescent="0.35">
      <c r="A99" s="3" t="s">
        <v>90</v>
      </c>
      <c r="B99" s="5">
        <f>447.49</f>
        <v>447.49</v>
      </c>
      <c r="C99" s="5">
        <f>5924</f>
        <v>5924</v>
      </c>
      <c r="D99" s="5">
        <f>7000</f>
        <v>7000</v>
      </c>
      <c r="E99" s="5">
        <f t="shared" si="5"/>
        <v>13371.49</v>
      </c>
      <c r="G99" s="5">
        <f t="shared" si="4"/>
        <v>4457.163333333333</v>
      </c>
      <c r="H99" s="5"/>
      <c r="I99" s="5"/>
    </row>
    <row r="100" spans="1:9" x14ac:dyDescent="0.35">
      <c r="A100" s="3" t="s">
        <v>91</v>
      </c>
      <c r="B100" s="5">
        <f>239.95</f>
        <v>239.95</v>
      </c>
      <c r="C100" s="5">
        <f>456</f>
        <v>456</v>
      </c>
      <c r="D100" s="5">
        <f>1103.95</f>
        <v>1103.95</v>
      </c>
      <c r="E100" s="5">
        <f t="shared" si="5"/>
        <v>1799.9</v>
      </c>
      <c r="G100" s="5">
        <f t="shared" si="4"/>
        <v>599.9666666666667</v>
      </c>
      <c r="H100" s="5"/>
      <c r="I100" s="5"/>
    </row>
    <row r="101" spans="1:9" x14ac:dyDescent="0.35">
      <c r="A101" s="3" t="s">
        <v>92</v>
      </c>
      <c r="B101" s="6">
        <f>((((B96)+(B97))+(B98))+(B99))+(B100)</f>
        <v>7713.62</v>
      </c>
      <c r="C101" s="6">
        <f>((((C96)+(C97))+(C98))+(C99))+(C100)</f>
        <v>16980</v>
      </c>
      <c r="D101" s="6">
        <f>((((D96)+(D97))+(D98))+(D99))+(D100)</f>
        <v>11571.25</v>
      </c>
      <c r="E101" s="6">
        <f t="shared" si="5"/>
        <v>36264.869999999995</v>
      </c>
      <c r="G101" s="6">
        <f t="shared" si="4"/>
        <v>12088.289999999999</v>
      </c>
      <c r="H101" s="6"/>
      <c r="I101" s="6"/>
    </row>
    <row r="102" spans="1:9" x14ac:dyDescent="0.35">
      <c r="A102" s="3" t="s">
        <v>93</v>
      </c>
      <c r="B102" s="5">
        <f>667.54</f>
        <v>667.54</v>
      </c>
      <c r="C102" s="5">
        <f>1726.34</f>
        <v>1726.34</v>
      </c>
      <c r="D102" s="5">
        <f>-141.47</f>
        <v>-141.47</v>
      </c>
      <c r="E102" s="5">
        <f t="shared" si="5"/>
        <v>2252.4100000000003</v>
      </c>
      <c r="G102" s="5">
        <f t="shared" si="4"/>
        <v>750.8033333333334</v>
      </c>
      <c r="H102" s="5"/>
      <c r="I102" s="5"/>
    </row>
    <row r="103" spans="1:9" x14ac:dyDescent="0.35">
      <c r="A103" s="3" t="s">
        <v>94</v>
      </c>
      <c r="B103" s="5">
        <f>4491.96</f>
        <v>4491.96</v>
      </c>
      <c r="C103" s="5">
        <f>494.9</f>
        <v>494.9</v>
      </c>
      <c r="D103" s="4"/>
      <c r="E103" s="5">
        <f t="shared" si="5"/>
        <v>4986.8599999999997</v>
      </c>
      <c r="G103" s="4">
        <f t="shared" si="4"/>
        <v>1662.2866666666666</v>
      </c>
      <c r="H103" s="4"/>
      <c r="I103" s="4"/>
    </row>
    <row r="104" spans="1:9" x14ac:dyDescent="0.35">
      <c r="A104" s="3" t="s">
        <v>95</v>
      </c>
      <c r="B104" s="6">
        <f>(B102)+(B103)</f>
        <v>5159.5</v>
      </c>
      <c r="C104" s="6">
        <f>(C102)+(C103)</f>
        <v>2221.2399999999998</v>
      </c>
      <c r="D104" s="6">
        <f>(D102)+(D103)</f>
        <v>-141.47</v>
      </c>
      <c r="E104" s="6">
        <f t="shared" si="5"/>
        <v>7239.2699999999995</v>
      </c>
      <c r="G104" s="6">
        <f t="shared" si="4"/>
        <v>2413.0899999999997</v>
      </c>
      <c r="H104" s="6"/>
      <c r="I104" s="6"/>
    </row>
    <row r="105" spans="1:9" x14ac:dyDescent="0.35">
      <c r="A105" s="3" t="s">
        <v>96</v>
      </c>
      <c r="B105" s="4"/>
      <c r="C105" s="4"/>
      <c r="D105" s="4"/>
      <c r="E105" s="5">
        <f t="shared" si="5"/>
        <v>0</v>
      </c>
      <c r="G105" s="4">
        <f t="shared" si="4"/>
        <v>0</v>
      </c>
      <c r="H105" s="4"/>
      <c r="I105" s="4"/>
    </row>
    <row r="106" spans="1:9" x14ac:dyDescent="0.35">
      <c r="A106" s="3" t="s">
        <v>97</v>
      </c>
      <c r="B106" s="5">
        <f>500</f>
        <v>500</v>
      </c>
      <c r="C106" s="5">
        <f>291.89</f>
        <v>291.89</v>
      </c>
      <c r="D106" s="4"/>
      <c r="E106" s="5">
        <f t="shared" si="5"/>
        <v>791.89</v>
      </c>
      <c r="G106" s="4">
        <f t="shared" si="4"/>
        <v>263.96333333333331</v>
      </c>
      <c r="H106" s="4"/>
      <c r="I106" s="4"/>
    </row>
    <row r="107" spans="1:9" x14ac:dyDescent="0.35">
      <c r="A107" s="3" t="s">
        <v>98</v>
      </c>
      <c r="B107" s="5">
        <f>1878.48</f>
        <v>1878.48</v>
      </c>
      <c r="C107" s="5">
        <f>2523.59</f>
        <v>2523.59</v>
      </c>
      <c r="D107" s="5">
        <f>2553.3</f>
        <v>2553.3000000000002</v>
      </c>
      <c r="E107" s="5">
        <f t="shared" si="5"/>
        <v>6955.37</v>
      </c>
      <c r="G107" s="5">
        <f t="shared" si="4"/>
        <v>2318.4566666666665</v>
      </c>
      <c r="H107" s="5"/>
      <c r="I107" s="5"/>
    </row>
    <row r="108" spans="1:9" x14ac:dyDescent="0.35">
      <c r="A108" s="3" t="s">
        <v>99</v>
      </c>
      <c r="B108" s="5">
        <f>5882</f>
        <v>5882</v>
      </c>
      <c r="C108" s="5">
        <f>7382</f>
        <v>7382</v>
      </c>
      <c r="D108" s="5">
        <f>7382</f>
        <v>7382</v>
      </c>
      <c r="E108" s="5">
        <f t="shared" si="5"/>
        <v>20646</v>
      </c>
      <c r="G108" s="5">
        <f t="shared" si="4"/>
        <v>6882</v>
      </c>
      <c r="H108" s="5"/>
      <c r="I108" s="5"/>
    </row>
    <row r="109" spans="1:9" x14ac:dyDescent="0.35">
      <c r="A109" s="3" t="s">
        <v>100</v>
      </c>
      <c r="B109" s="5">
        <f>3806.87</f>
        <v>3806.87</v>
      </c>
      <c r="C109" s="5">
        <f>3912.42</f>
        <v>3912.42</v>
      </c>
      <c r="D109" s="5">
        <f>5570.13</f>
        <v>5570.13</v>
      </c>
      <c r="E109" s="5">
        <f t="shared" si="5"/>
        <v>13289.42</v>
      </c>
      <c r="G109" s="5">
        <f t="shared" si="4"/>
        <v>4429.8066666666664</v>
      </c>
      <c r="H109" s="5"/>
      <c r="I109" s="5"/>
    </row>
    <row r="110" spans="1:9" x14ac:dyDescent="0.35">
      <c r="A110" s="3" t="s">
        <v>101</v>
      </c>
      <c r="B110" s="5">
        <f>4062.12</f>
        <v>4062.12</v>
      </c>
      <c r="C110" s="5">
        <f>4779.91</f>
        <v>4779.91</v>
      </c>
      <c r="D110" s="5">
        <f>1142</f>
        <v>1142</v>
      </c>
      <c r="E110" s="5">
        <f t="shared" si="5"/>
        <v>9984.0299999999988</v>
      </c>
      <c r="G110" s="5">
        <f t="shared" si="4"/>
        <v>3328.0099999999998</v>
      </c>
      <c r="H110" s="5"/>
      <c r="I110" s="5"/>
    </row>
    <row r="111" spans="1:9" x14ac:dyDescent="0.35">
      <c r="A111" s="3" t="s">
        <v>102</v>
      </c>
      <c r="B111" s="5">
        <f>270</f>
        <v>270</v>
      </c>
      <c r="C111" s="4"/>
      <c r="D111" s="4"/>
      <c r="E111" s="5">
        <f t="shared" si="5"/>
        <v>270</v>
      </c>
      <c r="G111" s="4">
        <f t="shared" si="4"/>
        <v>90</v>
      </c>
      <c r="H111" s="4"/>
      <c r="I111" s="4"/>
    </row>
    <row r="112" spans="1:9" x14ac:dyDescent="0.35">
      <c r="A112" s="3" t="s">
        <v>103</v>
      </c>
      <c r="B112" s="5">
        <f>10608.5</f>
        <v>10608.5</v>
      </c>
      <c r="C112" s="5">
        <f>6515.15</f>
        <v>6515.15</v>
      </c>
      <c r="D112" s="5">
        <f>5900.13</f>
        <v>5900.13</v>
      </c>
      <c r="E112" s="5">
        <f t="shared" si="5"/>
        <v>23023.780000000002</v>
      </c>
      <c r="G112" s="5">
        <f t="shared" si="4"/>
        <v>7674.5933333333342</v>
      </c>
      <c r="H112" s="5"/>
      <c r="I112" s="5"/>
    </row>
    <row r="113" spans="1:9" x14ac:dyDescent="0.35">
      <c r="A113" s="3" t="s">
        <v>104</v>
      </c>
      <c r="B113" s="5">
        <f>176.8</f>
        <v>176.8</v>
      </c>
      <c r="C113" s="4"/>
      <c r="D113" s="4"/>
      <c r="E113" s="5">
        <f t="shared" si="5"/>
        <v>176.8</v>
      </c>
      <c r="G113" s="4">
        <f t="shared" si="4"/>
        <v>58.933333333333337</v>
      </c>
      <c r="H113" s="4"/>
      <c r="I113" s="4"/>
    </row>
    <row r="114" spans="1:9" x14ac:dyDescent="0.35">
      <c r="A114" s="3" t="s">
        <v>105</v>
      </c>
      <c r="B114" s="5">
        <f>156.67</f>
        <v>156.66999999999999</v>
      </c>
      <c r="C114" s="5">
        <f>334.04</f>
        <v>334.04</v>
      </c>
      <c r="D114" s="5">
        <f>175.02</f>
        <v>175.02</v>
      </c>
      <c r="E114" s="5">
        <f t="shared" si="5"/>
        <v>665.73</v>
      </c>
      <c r="G114" s="5">
        <f t="shared" si="4"/>
        <v>221.91</v>
      </c>
      <c r="H114" s="5"/>
      <c r="I114" s="5"/>
    </row>
    <row r="115" spans="1:9" x14ac:dyDescent="0.35">
      <c r="A115" s="3" t="s">
        <v>106</v>
      </c>
      <c r="B115" s="6">
        <f>(((((((((B105)+(B106))+(B107))+(B108))+(B109))+(B110))+(B111))+(B112))+(B113))+(B114)</f>
        <v>27341.439999999995</v>
      </c>
      <c r="C115" s="6">
        <f>(((((((((C105)+(C106))+(C107))+(C108))+(C109))+(C110))+(C111))+(C112))+(C113))+(C114)</f>
        <v>25739</v>
      </c>
      <c r="D115" s="6">
        <f>(((((((((D105)+(D106))+(D107))+(D108))+(D109))+(D110))+(D111))+(D112))+(D113))+(D114)</f>
        <v>22722.58</v>
      </c>
      <c r="E115" s="6">
        <f t="shared" si="5"/>
        <v>75803.01999999999</v>
      </c>
      <c r="G115" s="6">
        <f t="shared" si="4"/>
        <v>25267.673333333329</v>
      </c>
      <c r="H115" s="6"/>
      <c r="I115" s="6"/>
    </row>
    <row r="116" spans="1:9" x14ac:dyDescent="0.35">
      <c r="A116" s="3" t="s">
        <v>107</v>
      </c>
      <c r="B116" s="4"/>
      <c r="C116" s="4"/>
      <c r="D116" s="4"/>
      <c r="E116" s="5">
        <f t="shared" si="5"/>
        <v>0</v>
      </c>
      <c r="G116" s="4">
        <f t="shared" si="4"/>
        <v>0</v>
      </c>
      <c r="H116" s="4"/>
      <c r="I116" s="4"/>
    </row>
    <row r="117" spans="1:9" x14ac:dyDescent="0.35">
      <c r="A117" s="3" t="s">
        <v>108</v>
      </c>
      <c r="B117" s="5">
        <f>67.48</f>
        <v>67.48</v>
      </c>
      <c r="C117" s="4"/>
      <c r="D117" s="5">
        <f>420</f>
        <v>420</v>
      </c>
      <c r="E117" s="5">
        <f t="shared" si="5"/>
        <v>487.48</v>
      </c>
      <c r="G117" s="5">
        <f t="shared" si="4"/>
        <v>162.49333333333334</v>
      </c>
      <c r="H117" s="5"/>
      <c r="I117" s="5"/>
    </row>
    <row r="118" spans="1:9" x14ac:dyDescent="0.35">
      <c r="A118" s="3" t="s">
        <v>109</v>
      </c>
      <c r="B118" s="4"/>
      <c r="C118" s="5">
        <f>35</f>
        <v>35</v>
      </c>
      <c r="D118" s="4"/>
      <c r="E118" s="5">
        <f t="shared" si="5"/>
        <v>35</v>
      </c>
      <c r="G118" s="4">
        <f t="shared" si="4"/>
        <v>11.666666666666666</v>
      </c>
      <c r="H118" s="4"/>
      <c r="I118" s="4"/>
    </row>
    <row r="119" spans="1:9" x14ac:dyDescent="0.35">
      <c r="A119" s="3" t="s">
        <v>110</v>
      </c>
      <c r="B119" s="6">
        <f>((B116)+(B117))+(B118)</f>
        <v>67.48</v>
      </c>
      <c r="C119" s="6">
        <f>((C116)+(C117))+(C118)</f>
        <v>35</v>
      </c>
      <c r="D119" s="6">
        <f>((D116)+(D117))+(D118)</f>
        <v>420</v>
      </c>
      <c r="E119" s="6">
        <f t="shared" si="5"/>
        <v>522.48</v>
      </c>
      <c r="G119" s="6">
        <f t="shared" si="4"/>
        <v>174.16</v>
      </c>
      <c r="H119" s="6"/>
      <c r="I119" s="6"/>
    </row>
    <row r="120" spans="1:9" x14ac:dyDescent="0.35">
      <c r="A120" s="3" t="s">
        <v>111</v>
      </c>
      <c r="B120" s="5">
        <f>2926.52</f>
        <v>2926.52</v>
      </c>
      <c r="C120" s="5">
        <f>1702.13</f>
        <v>1702.13</v>
      </c>
      <c r="D120" s="5">
        <f>9977.56</f>
        <v>9977.56</v>
      </c>
      <c r="E120" s="5">
        <f t="shared" si="5"/>
        <v>14606.21</v>
      </c>
      <c r="G120" s="5">
        <f t="shared" si="4"/>
        <v>4868.7366666666667</v>
      </c>
      <c r="H120" s="5"/>
      <c r="I120" s="5"/>
    </row>
    <row r="121" spans="1:9" x14ac:dyDescent="0.35">
      <c r="A121" s="3" t="s">
        <v>112</v>
      </c>
      <c r="B121" s="5">
        <f>943.24</f>
        <v>943.24</v>
      </c>
      <c r="C121" s="5">
        <f>841.7</f>
        <v>841.7</v>
      </c>
      <c r="D121" s="4"/>
      <c r="E121" s="5">
        <f t="shared" si="5"/>
        <v>1784.94</v>
      </c>
      <c r="G121" s="4">
        <f t="shared" si="4"/>
        <v>594.98</v>
      </c>
      <c r="H121" s="4"/>
      <c r="I121" s="4"/>
    </row>
    <row r="122" spans="1:9" x14ac:dyDescent="0.35">
      <c r="A122" s="3" t="s">
        <v>113</v>
      </c>
      <c r="B122" s="5">
        <f>4045.5</f>
        <v>4045.5</v>
      </c>
      <c r="C122" s="5">
        <f>3598.94</f>
        <v>3598.94</v>
      </c>
      <c r="D122" s="4"/>
      <c r="E122" s="5">
        <f t="shared" si="5"/>
        <v>7644.4400000000005</v>
      </c>
      <c r="G122" s="4">
        <f t="shared" si="4"/>
        <v>2548.146666666667</v>
      </c>
      <c r="H122" s="4"/>
      <c r="I122" s="4"/>
    </row>
    <row r="123" spans="1:9" x14ac:dyDescent="0.35">
      <c r="A123" s="3" t="s">
        <v>114</v>
      </c>
      <c r="B123" s="5">
        <f>960.64</f>
        <v>960.64</v>
      </c>
      <c r="C123" s="5">
        <f>874.95</f>
        <v>874.95</v>
      </c>
      <c r="D123" s="4"/>
      <c r="E123" s="5">
        <f t="shared" si="5"/>
        <v>1835.5900000000001</v>
      </c>
      <c r="G123" s="4">
        <f t="shared" si="4"/>
        <v>611.86333333333334</v>
      </c>
      <c r="H123" s="4"/>
      <c r="I123" s="4"/>
    </row>
    <row r="124" spans="1:9" x14ac:dyDescent="0.35">
      <c r="A124" s="3" t="s">
        <v>115</v>
      </c>
      <c r="B124" s="5">
        <f>4095.1</f>
        <v>4095.1</v>
      </c>
      <c r="C124" s="5">
        <f>3565.69</f>
        <v>3565.69</v>
      </c>
      <c r="D124" s="4"/>
      <c r="E124" s="5">
        <f t="shared" si="5"/>
        <v>7660.79</v>
      </c>
      <c r="G124" s="4">
        <f t="shared" si="4"/>
        <v>2553.5966666666668</v>
      </c>
      <c r="H124" s="4"/>
      <c r="I124" s="4"/>
    </row>
    <row r="125" spans="1:9" x14ac:dyDescent="0.35">
      <c r="A125" s="3" t="s">
        <v>116</v>
      </c>
      <c r="B125" s="5">
        <f>217.62</f>
        <v>217.62</v>
      </c>
      <c r="C125" s="5">
        <f>215.18</f>
        <v>215.18</v>
      </c>
      <c r="D125" s="4"/>
      <c r="E125" s="5">
        <f t="shared" si="5"/>
        <v>432.8</v>
      </c>
      <c r="G125" s="4">
        <f t="shared" si="4"/>
        <v>144.26666666666668</v>
      </c>
      <c r="H125" s="4"/>
      <c r="I125" s="4"/>
    </row>
    <row r="126" spans="1:9" x14ac:dyDescent="0.35">
      <c r="A126" s="3" t="s">
        <v>117</v>
      </c>
      <c r="B126" s="5">
        <f>1634.7</f>
        <v>1634.7</v>
      </c>
      <c r="C126" s="5">
        <f>1502.86</f>
        <v>1502.86</v>
      </c>
      <c r="D126" s="4"/>
      <c r="E126" s="5">
        <f t="shared" si="5"/>
        <v>3137.56</v>
      </c>
      <c r="G126" s="4">
        <f t="shared" si="4"/>
        <v>1045.8533333333332</v>
      </c>
      <c r="H126" s="4"/>
      <c r="I126" s="4"/>
    </row>
    <row r="127" spans="1:9" x14ac:dyDescent="0.35">
      <c r="A127" s="3" t="s">
        <v>118</v>
      </c>
      <c r="B127" s="5">
        <f>57729.66</f>
        <v>57729.66</v>
      </c>
      <c r="C127" s="5">
        <f>57120.41</f>
        <v>57120.41</v>
      </c>
      <c r="D127" s="5">
        <f>27494.83</f>
        <v>27494.83</v>
      </c>
      <c r="E127" s="5">
        <f t="shared" ref="E127:E158" si="6">((B127)+(C127))+(D127)</f>
        <v>142344.90000000002</v>
      </c>
      <c r="G127" s="5">
        <f t="shared" si="4"/>
        <v>47448.30000000001</v>
      </c>
      <c r="H127" s="5"/>
      <c r="I127" s="5"/>
    </row>
    <row r="128" spans="1:9" hidden="1" x14ac:dyDescent="0.35">
      <c r="A128" s="3" t="s">
        <v>119</v>
      </c>
      <c r="B128" s="4"/>
      <c r="C128" s="4"/>
      <c r="D128" s="5"/>
      <c r="E128" s="5">
        <f t="shared" si="6"/>
        <v>0</v>
      </c>
      <c r="G128" s="5">
        <f t="shared" si="4"/>
        <v>0</v>
      </c>
      <c r="H128" s="5"/>
      <c r="I128" s="5"/>
    </row>
    <row r="129" spans="1:9" x14ac:dyDescent="0.35">
      <c r="A129" s="3" t="s">
        <v>120</v>
      </c>
      <c r="B129" s="6">
        <f>((((((((B120)+(B121))+(B122))+(B123))+(B124))+(B125))+(B126))+(B127))+(B128)</f>
        <v>72552.98000000001</v>
      </c>
      <c r="C129" s="6">
        <f>((((((((C120)+(C121))+(C122))+(C123))+(C124))+(C125))+(C126))+(C127))+(C128)</f>
        <v>69421.86</v>
      </c>
      <c r="D129" s="6">
        <f>((((((((D120)+(D121))+(D122))+(D123))+(D124))+(D125))+(D126))+(D127))+(D128)</f>
        <v>37472.39</v>
      </c>
      <c r="E129" s="6">
        <f t="shared" si="6"/>
        <v>179447.23000000004</v>
      </c>
      <c r="G129" s="6">
        <f t="shared" si="4"/>
        <v>59815.743333333347</v>
      </c>
      <c r="H129" s="6"/>
      <c r="I129" s="6"/>
    </row>
    <row r="130" spans="1:9" x14ac:dyDescent="0.35">
      <c r="A130" s="3" t="s">
        <v>121</v>
      </c>
      <c r="B130" s="5">
        <f>2300</f>
        <v>2300</v>
      </c>
      <c r="C130" s="4"/>
      <c r="D130" s="4"/>
      <c r="E130" s="5">
        <f t="shared" si="6"/>
        <v>2300</v>
      </c>
      <c r="G130" s="4">
        <f t="shared" si="4"/>
        <v>766.66666666666663</v>
      </c>
      <c r="H130" s="4"/>
      <c r="I130" s="4"/>
    </row>
    <row r="131" spans="1:9" x14ac:dyDescent="0.35">
      <c r="A131" s="3" t="s">
        <v>122</v>
      </c>
      <c r="B131" s="5">
        <f>2656</f>
        <v>2656</v>
      </c>
      <c r="C131" s="5">
        <f>2294.4</f>
        <v>2294.4</v>
      </c>
      <c r="D131" s="5">
        <f>-88</f>
        <v>-88</v>
      </c>
      <c r="E131" s="7">
        <v>0</v>
      </c>
      <c r="G131" s="5">
        <f t="shared" si="4"/>
        <v>0</v>
      </c>
      <c r="H131" s="5"/>
      <c r="I131" s="5"/>
    </row>
    <row r="132" spans="1:9" x14ac:dyDescent="0.35">
      <c r="A132" s="3" t="s">
        <v>123</v>
      </c>
      <c r="B132" s="6">
        <f>(B130)+(B131)</f>
        <v>4956</v>
      </c>
      <c r="C132" s="6">
        <f>(C130)+(C131)</f>
        <v>2294.4</v>
      </c>
      <c r="D132" s="6">
        <f>(D130)+(D131)</f>
        <v>-88</v>
      </c>
      <c r="E132" s="6">
        <f t="shared" si="6"/>
        <v>7162.4</v>
      </c>
      <c r="G132" s="6">
        <f t="shared" si="4"/>
        <v>2387.4666666666667</v>
      </c>
      <c r="H132" s="6"/>
      <c r="I132" s="6"/>
    </row>
    <row r="133" spans="1:9" x14ac:dyDescent="0.35">
      <c r="A133" s="3" t="s">
        <v>124</v>
      </c>
      <c r="B133" s="4"/>
      <c r="C133" s="5">
        <f>970.5</f>
        <v>970.5</v>
      </c>
      <c r="D133" s="5">
        <f>500</f>
        <v>500</v>
      </c>
      <c r="E133" s="5">
        <f t="shared" si="6"/>
        <v>1470.5</v>
      </c>
      <c r="G133" s="5">
        <f t="shared" si="4"/>
        <v>490.16666666666669</v>
      </c>
      <c r="H133" s="5"/>
      <c r="I133" s="5"/>
    </row>
    <row r="134" spans="1:9" x14ac:dyDescent="0.35">
      <c r="A134" s="3" t="s">
        <v>125</v>
      </c>
      <c r="B134" s="5">
        <f>919.54</f>
        <v>919.54</v>
      </c>
      <c r="C134" s="5">
        <f>607.39</f>
        <v>607.39</v>
      </c>
      <c r="D134" s="5">
        <f>915.4</f>
        <v>915.4</v>
      </c>
      <c r="E134" s="5">
        <f t="shared" si="6"/>
        <v>2442.33</v>
      </c>
      <c r="G134" s="5">
        <f t="shared" si="4"/>
        <v>814.11</v>
      </c>
      <c r="H134" s="5"/>
      <c r="I134" s="5"/>
    </row>
    <row r="135" spans="1:9" x14ac:dyDescent="0.35">
      <c r="A135" s="3" t="s">
        <v>126</v>
      </c>
      <c r="B135" s="5">
        <f>101.91</f>
        <v>101.91</v>
      </c>
      <c r="C135" s="5">
        <f>4225</f>
        <v>4225</v>
      </c>
      <c r="D135" s="5">
        <f>1136</f>
        <v>1136</v>
      </c>
      <c r="E135" s="7">
        <v>0</v>
      </c>
      <c r="G135" s="5">
        <f t="shared" si="4"/>
        <v>0</v>
      </c>
      <c r="H135" s="5"/>
      <c r="I135" s="5"/>
    </row>
    <row r="136" spans="1:9" x14ac:dyDescent="0.35">
      <c r="A136" s="3" t="s">
        <v>127</v>
      </c>
      <c r="B136" s="4"/>
      <c r="C136" s="4"/>
      <c r="D136" s="4"/>
      <c r="E136" s="5">
        <f t="shared" si="6"/>
        <v>0</v>
      </c>
      <c r="G136" s="4">
        <f t="shared" si="4"/>
        <v>0</v>
      </c>
      <c r="H136" s="4"/>
      <c r="I136" s="4"/>
    </row>
    <row r="137" spans="1:9" x14ac:dyDescent="0.35">
      <c r="A137" s="3" t="s">
        <v>128</v>
      </c>
      <c r="B137" s="5">
        <f>17148.1</f>
        <v>17148.099999999999</v>
      </c>
      <c r="C137" s="5">
        <f>4841.76</f>
        <v>4841.76</v>
      </c>
      <c r="D137" s="5">
        <f>5669.37</f>
        <v>5669.37</v>
      </c>
      <c r="E137" s="5">
        <f t="shared" si="6"/>
        <v>27659.23</v>
      </c>
      <c r="G137" s="5">
        <f t="shared" si="4"/>
        <v>9219.7433333333338</v>
      </c>
      <c r="H137" s="5"/>
      <c r="I137" s="5"/>
    </row>
    <row r="138" spans="1:9" x14ac:dyDescent="0.35">
      <c r="A138" s="3" t="s">
        <v>129</v>
      </c>
      <c r="B138" s="5">
        <f>4715</f>
        <v>4715</v>
      </c>
      <c r="C138" s="5">
        <f>679.45</f>
        <v>679.45</v>
      </c>
      <c r="D138" s="4"/>
      <c r="E138" s="5">
        <f t="shared" si="6"/>
        <v>5394.45</v>
      </c>
      <c r="G138" s="4">
        <f t="shared" ref="G138:G158" si="7">E138/3</f>
        <v>1798.1499999999999</v>
      </c>
      <c r="H138" s="4"/>
      <c r="I138" s="4"/>
    </row>
    <row r="139" spans="1:9" x14ac:dyDescent="0.35">
      <c r="A139" s="3" t="s">
        <v>130</v>
      </c>
      <c r="B139" s="5">
        <f>26629.29</f>
        <v>26629.29</v>
      </c>
      <c r="C139" s="5">
        <f>11808.59</f>
        <v>11808.59</v>
      </c>
      <c r="D139" s="5">
        <f>6215.59</f>
        <v>6215.59</v>
      </c>
      <c r="E139" s="5">
        <f t="shared" si="6"/>
        <v>44653.47</v>
      </c>
      <c r="G139" s="5">
        <f t="shared" si="7"/>
        <v>14884.49</v>
      </c>
      <c r="H139" s="5"/>
      <c r="I139" s="5"/>
    </row>
    <row r="140" spans="1:9" x14ac:dyDescent="0.35">
      <c r="A140" s="3" t="s">
        <v>80</v>
      </c>
      <c r="B140" s="5">
        <f>2195.72</f>
        <v>2195.7199999999998</v>
      </c>
      <c r="C140" s="5">
        <f>233.46</f>
        <v>233.46</v>
      </c>
      <c r="D140" s="5">
        <f>949.89</f>
        <v>949.89</v>
      </c>
      <c r="E140" s="5">
        <f t="shared" si="6"/>
        <v>3379.0699999999997</v>
      </c>
      <c r="G140" s="5">
        <f t="shared" si="7"/>
        <v>1126.3566666666666</v>
      </c>
      <c r="H140" s="5"/>
      <c r="I140" s="5"/>
    </row>
    <row r="141" spans="1:9" x14ac:dyDescent="0.35">
      <c r="A141" s="3" t="s">
        <v>131</v>
      </c>
      <c r="B141" s="4"/>
      <c r="C141" s="5">
        <f>5184.09</f>
        <v>5184.09</v>
      </c>
      <c r="D141" s="4"/>
      <c r="E141" s="5">
        <f t="shared" si="6"/>
        <v>5184.09</v>
      </c>
      <c r="G141" s="4">
        <f t="shared" si="7"/>
        <v>1728.03</v>
      </c>
      <c r="H141" s="4"/>
      <c r="I141" s="4"/>
    </row>
    <row r="142" spans="1:9" x14ac:dyDescent="0.35">
      <c r="A142" s="3" t="s">
        <v>132</v>
      </c>
      <c r="B142" s="4"/>
      <c r="C142" s="5">
        <f>398.5</f>
        <v>398.5</v>
      </c>
      <c r="D142" s="4"/>
      <c r="E142" s="5">
        <f t="shared" si="6"/>
        <v>398.5</v>
      </c>
      <c r="G142" s="4">
        <f t="shared" si="7"/>
        <v>132.83333333333334</v>
      </c>
      <c r="H142" s="4"/>
      <c r="I142" s="4"/>
    </row>
    <row r="143" spans="1:9" x14ac:dyDescent="0.35">
      <c r="A143" s="3" t="s">
        <v>133</v>
      </c>
      <c r="B143" s="6">
        <f>(B141)+(B142)</f>
        <v>0</v>
      </c>
      <c r="C143" s="6">
        <f>(C141)+(C142)</f>
        <v>5582.59</v>
      </c>
      <c r="D143" s="6">
        <f>(D141)+(D142)</f>
        <v>0</v>
      </c>
      <c r="E143" s="6">
        <f t="shared" si="6"/>
        <v>5582.59</v>
      </c>
      <c r="G143" s="6">
        <f t="shared" si="7"/>
        <v>1860.8633333333335</v>
      </c>
      <c r="H143" s="6"/>
      <c r="I143" s="6"/>
    </row>
    <row r="144" spans="1:9" x14ac:dyDescent="0.35">
      <c r="A144" s="3" t="s">
        <v>134</v>
      </c>
      <c r="B144" s="4"/>
      <c r="C144" s="5">
        <f>16534.02</f>
        <v>16534.02</v>
      </c>
      <c r="D144" s="5">
        <f>5697.35</f>
        <v>5697.35</v>
      </c>
      <c r="E144" s="7">
        <v>0</v>
      </c>
      <c r="G144" s="5">
        <f t="shared" si="7"/>
        <v>0</v>
      </c>
      <c r="H144" s="5"/>
      <c r="I144" s="5"/>
    </row>
    <row r="145" spans="1:10" x14ac:dyDescent="0.35">
      <c r="A145" s="3" t="s">
        <v>135</v>
      </c>
      <c r="B145" s="5">
        <f>102</f>
        <v>102</v>
      </c>
      <c r="C145" s="5">
        <f>254.5</f>
        <v>254.5</v>
      </c>
      <c r="D145" s="5">
        <f>44</f>
        <v>44</v>
      </c>
      <c r="E145" s="5">
        <f t="shared" si="6"/>
        <v>400.5</v>
      </c>
      <c r="G145" s="5">
        <f t="shared" si="7"/>
        <v>133.5</v>
      </c>
      <c r="H145" s="5"/>
      <c r="I145" s="5"/>
    </row>
    <row r="146" spans="1:10" x14ac:dyDescent="0.35">
      <c r="A146" s="3" t="s">
        <v>136</v>
      </c>
      <c r="B146" s="4"/>
      <c r="C146" s="5">
        <f>1016.88</f>
        <v>1016.88</v>
      </c>
      <c r="D146" s="5">
        <f>692.64</f>
        <v>692.64</v>
      </c>
      <c r="E146" s="5">
        <f t="shared" si="6"/>
        <v>1709.52</v>
      </c>
      <c r="G146" s="5">
        <f t="shared" si="7"/>
        <v>569.84</v>
      </c>
      <c r="H146" s="5"/>
      <c r="I146" s="5"/>
    </row>
    <row r="147" spans="1:10" x14ac:dyDescent="0.35">
      <c r="A147" s="3" t="s">
        <v>137</v>
      </c>
      <c r="B147" s="5">
        <f>1167.31</f>
        <v>1167.31</v>
      </c>
      <c r="C147" s="5">
        <f>71.27</f>
        <v>71.27</v>
      </c>
      <c r="D147" s="5">
        <f>482.34</f>
        <v>482.34</v>
      </c>
      <c r="E147" s="5">
        <f t="shared" si="6"/>
        <v>1720.9199999999998</v>
      </c>
      <c r="G147" s="5">
        <f t="shared" si="7"/>
        <v>573.64</v>
      </c>
      <c r="H147" s="5"/>
      <c r="I147" s="5"/>
    </row>
    <row r="148" spans="1:10" x14ac:dyDescent="0.35">
      <c r="A148" s="3" t="s">
        <v>138</v>
      </c>
      <c r="B148" s="5">
        <f>876.8</f>
        <v>876.8</v>
      </c>
      <c r="C148" s="5">
        <f>20</f>
        <v>20</v>
      </c>
      <c r="D148" s="4"/>
      <c r="E148" s="5">
        <f t="shared" si="6"/>
        <v>896.8</v>
      </c>
      <c r="G148" s="4">
        <f t="shared" si="7"/>
        <v>298.93333333333334</v>
      </c>
      <c r="H148" s="4"/>
      <c r="I148" s="4"/>
    </row>
    <row r="149" spans="1:10" x14ac:dyDescent="0.35">
      <c r="A149" s="3" t="s">
        <v>139</v>
      </c>
      <c r="B149" s="5">
        <f>136.36</f>
        <v>136.36000000000001</v>
      </c>
      <c r="C149" s="4"/>
      <c r="D149" s="4"/>
      <c r="E149" s="5">
        <f t="shared" si="6"/>
        <v>136.36000000000001</v>
      </c>
      <c r="G149" s="4">
        <f t="shared" si="7"/>
        <v>45.45333333333334</v>
      </c>
      <c r="H149" s="4"/>
      <c r="I149" s="4"/>
    </row>
    <row r="150" spans="1:10" x14ac:dyDescent="0.35">
      <c r="A150" s="3" t="s">
        <v>140</v>
      </c>
      <c r="B150" s="6">
        <f>(((((((((((B136)+(B137))+(B138))+(B139))+(B140))+(B143))+(B144))+(B145))+(B146))+(B147))+(B148))+(B149)</f>
        <v>52970.58</v>
      </c>
      <c r="C150" s="6">
        <f>(((((((((((C136)+(C137))+(C138))+(C139))+(C140))+(C143))+(C144))+(C145))+(C146))+(C147))+(C148))+(C149)</f>
        <v>41042.51999999999</v>
      </c>
      <c r="D150" s="6">
        <f>(((((((((((D136)+(D137))+(D138))+(D139))+(D140))+(D143))+(D144))+(D145))+(D146))+(D147))+(D148))+(D149)</f>
        <v>19751.179999999997</v>
      </c>
      <c r="E150" s="6">
        <f t="shared" si="6"/>
        <v>113764.27999999998</v>
      </c>
      <c r="G150" s="6">
        <f t="shared" si="7"/>
        <v>37921.426666666659</v>
      </c>
      <c r="H150" s="6"/>
      <c r="I150" s="6"/>
    </row>
    <row r="151" spans="1:10" x14ac:dyDescent="0.35">
      <c r="A151" s="3" t="s">
        <v>141</v>
      </c>
      <c r="B151" s="6">
        <f>(((B133)+(B134))+(B135))+(B150)</f>
        <v>53992.03</v>
      </c>
      <c r="C151" s="6">
        <f>(((C133)+(C134))+(C135))+(C150)</f>
        <v>46845.409999999989</v>
      </c>
      <c r="D151" s="6">
        <f>(((D133)+(D134))+(D135))+(D150)</f>
        <v>22302.579999999998</v>
      </c>
      <c r="E151" s="6">
        <f t="shared" si="6"/>
        <v>123140.01999999999</v>
      </c>
      <c r="G151" s="6">
        <f t="shared" si="7"/>
        <v>41046.673333333332</v>
      </c>
      <c r="H151" s="6"/>
      <c r="I151" s="6"/>
    </row>
    <row r="152" spans="1:10" x14ac:dyDescent="0.35">
      <c r="A152" s="3" t="s">
        <v>142</v>
      </c>
      <c r="B152" s="4"/>
      <c r="C152" s="4"/>
      <c r="D152" s="4"/>
      <c r="E152" s="5">
        <f t="shared" si="6"/>
        <v>0</v>
      </c>
      <c r="G152" s="4">
        <f t="shared" si="7"/>
        <v>0</v>
      </c>
      <c r="H152" s="4"/>
      <c r="I152" s="4"/>
    </row>
    <row r="153" spans="1:10" x14ac:dyDescent="0.35">
      <c r="A153" s="3" t="s">
        <v>143</v>
      </c>
      <c r="B153" s="4"/>
      <c r="C153" s="5">
        <f>77.03</f>
        <v>77.03</v>
      </c>
      <c r="D153" s="4"/>
      <c r="E153" s="5">
        <f t="shared" si="6"/>
        <v>77.03</v>
      </c>
      <c r="G153" s="4">
        <f t="shared" si="7"/>
        <v>25.676666666666666</v>
      </c>
      <c r="H153" s="4"/>
      <c r="I153" s="4"/>
    </row>
    <row r="154" spans="1:10" x14ac:dyDescent="0.35">
      <c r="A154" s="3" t="s">
        <v>144</v>
      </c>
      <c r="B154" s="5">
        <f>224.86</f>
        <v>224.86</v>
      </c>
      <c r="C154" s="5">
        <f>46.56</f>
        <v>46.56</v>
      </c>
      <c r="D154" s="4"/>
      <c r="E154" s="5">
        <f t="shared" si="6"/>
        <v>271.42</v>
      </c>
      <c r="G154" s="4">
        <f t="shared" si="7"/>
        <v>90.473333333333343</v>
      </c>
      <c r="H154" s="4"/>
      <c r="I154" s="4"/>
    </row>
    <row r="155" spans="1:10" x14ac:dyDescent="0.35">
      <c r="A155" s="3" t="s">
        <v>145</v>
      </c>
      <c r="B155" s="6">
        <f>((B152)+(B153))+(B154)</f>
        <v>224.86</v>
      </c>
      <c r="C155" s="6">
        <f>((C152)+(C153))+(C154)</f>
        <v>123.59</v>
      </c>
      <c r="D155" s="6">
        <f>((D152)+(D153))+(D154)</f>
        <v>0</v>
      </c>
      <c r="E155" s="6">
        <f t="shared" si="6"/>
        <v>348.45000000000005</v>
      </c>
      <c r="G155" s="6">
        <f t="shared" si="7"/>
        <v>116.15000000000002</v>
      </c>
      <c r="H155" s="6"/>
      <c r="I155" s="6"/>
    </row>
    <row r="156" spans="1:10" x14ac:dyDescent="0.35">
      <c r="A156" s="3" t="s">
        <v>146</v>
      </c>
      <c r="B156" s="4"/>
      <c r="C156" s="4"/>
      <c r="D156" s="5">
        <f>131.12</f>
        <v>131.12</v>
      </c>
      <c r="E156" s="5">
        <f t="shared" si="6"/>
        <v>131.12</v>
      </c>
      <c r="G156" s="5">
        <f t="shared" si="7"/>
        <v>43.706666666666671</v>
      </c>
      <c r="H156" s="5"/>
      <c r="I156" s="5"/>
    </row>
    <row r="157" spans="1:10" x14ac:dyDescent="0.35">
      <c r="A157" s="3" t="s">
        <v>147</v>
      </c>
      <c r="B157" s="6">
        <f>(((((((((((((B63)+(B72))+(B76))+(B77))+(B95))+(B101))+(B104))+(B115))+(B119))+(B129))+(B132))+(B151))+(B155))+(B156)</f>
        <v>214287.05</v>
      </c>
      <c r="C157" s="6">
        <f>(((((((((((((C63)+(C72))+(C76))+(C77))+(C95))+(C101))+(C104))+(C115))+(C119))+(C129))+(C132))+(C151))+(C155))+(C156)</f>
        <v>204650.21</v>
      </c>
      <c r="D157" s="6">
        <f>(((((((((((((D63)+(D72))+(D76))+(D77))+(D95))+(D101))+(D104))+(D115))+(D119))+(D129))+(D132))+(D151))+(D155))+(D156)</f>
        <v>145123.34</v>
      </c>
      <c r="E157" s="6">
        <f t="shared" si="6"/>
        <v>564060.6</v>
      </c>
      <c r="G157" s="6">
        <f t="shared" si="7"/>
        <v>188020.19999999998</v>
      </c>
      <c r="H157" s="6"/>
      <c r="I157" s="6"/>
    </row>
    <row r="158" spans="1:10" x14ac:dyDescent="0.35">
      <c r="A158" s="10" t="s">
        <v>148</v>
      </c>
      <c r="B158" s="11">
        <f>(B61)-(B157)</f>
        <v>-48625.880000000005</v>
      </c>
      <c r="C158" s="11">
        <f>(C61)-(C157)</f>
        <v>-53119.450000000012</v>
      </c>
      <c r="D158" s="11">
        <f>(D61)-(D157)</f>
        <v>-42703.060000000012</v>
      </c>
      <c r="E158" s="11">
        <f t="shared" si="6"/>
        <v>-144448.39000000001</v>
      </c>
      <c r="F158" s="12"/>
      <c r="G158" s="11">
        <f t="shared" si="7"/>
        <v>-48149.46333333334</v>
      </c>
      <c r="H158" s="11"/>
      <c r="I158" s="11"/>
      <c r="J158" s="12"/>
    </row>
    <row r="159" spans="1:10" x14ac:dyDescent="0.35">
      <c r="A159" s="3"/>
      <c r="B159" s="4"/>
      <c r="C159" s="4"/>
      <c r="D159" s="4"/>
      <c r="E159" s="4"/>
    </row>
    <row r="162" spans="1:5" x14ac:dyDescent="0.35">
      <c r="A162" s="49"/>
      <c r="B162" s="50"/>
      <c r="C162" s="50"/>
      <c r="D162" s="50"/>
      <c r="E162" s="50"/>
    </row>
  </sheetData>
  <mergeCells count="4">
    <mergeCell ref="A162:E162"/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9285A-DEAB-49BD-B7F4-7F7567F4FE55}">
  <sheetPr>
    <pageSetUpPr fitToPage="1"/>
  </sheetPr>
  <dimension ref="A1:S162"/>
  <sheetViews>
    <sheetView tabSelected="1" zoomScale="160" zoomScaleNormal="160" workbookViewId="0">
      <pane xSplit="1" ySplit="5" topLeftCell="B76" activePane="bottomRight" state="frozen"/>
      <selection pane="topRight" activeCell="B1" sqref="B1"/>
      <selection pane="bottomLeft" activeCell="A6" sqref="A6"/>
      <selection pane="bottomRight" activeCell="M160" sqref="M160"/>
    </sheetView>
  </sheetViews>
  <sheetFormatPr defaultRowHeight="14.5" outlineLevelRow="1" x14ac:dyDescent="0.35"/>
  <cols>
    <col min="1" max="1" width="24.54296875" customWidth="1"/>
    <col min="2" max="4" width="11.08984375" customWidth="1"/>
    <col min="5" max="5" width="12" hidden="1" customWidth="1"/>
    <col min="6" max="6" width="6.54296875" style="14" customWidth="1"/>
    <col min="7" max="11" width="10.453125" hidden="1" customWidth="1"/>
    <col min="12" max="12" width="10.453125" style="12" customWidth="1"/>
    <col min="13" max="13" width="12.08984375" bestFit="1" customWidth="1"/>
    <col min="14" max="14" width="25.6328125" hidden="1" customWidth="1"/>
    <col min="15" max="15" width="13" hidden="1" customWidth="1"/>
    <col min="16" max="16" width="0" hidden="1" customWidth="1"/>
    <col min="17" max="17" width="24.36328125" hidden="1" customWidth="1"/>
    <col min="18" max="18" width="13" hidden="1" customWidth="1"/>
  </cols>
  <sheetData>
    <row r="1" spans="1:19" ht="18" hidden="1" x14ac:dyDescent="0.4">
      <c r="A1" s="51" t="s">
        <v>149</v>
      </c>
      <c r="B1" s="50"/>
      <c r="C1" s="50"/>
      <c r="D1" s="50"/>
      <c r="E1" s="50"/>
      <c r="H1" s="25">
        <f>D120/D127</f>
        <v>0.36288858669066143</v>
      </c>
      <c r="I1" t="s">
        <v>168</v>
      </c>
      <c r="J1" t="s">
        <v>168</v>
      </c>
      <c r="K1" t="s">
        <v>168</v>
      </c>
      <c r="L1" s="12" t="s">
        <v>168</v>
      </c>
    </row>
    <row r="2" spans="1:19" ht="18" x14ac:dyDescent="0.4">
      <c r="A2" s="51" t="s">
        <v>150</v>
      </c>
      <c r="B2" s="50"/>
      <c r="C2" s="50"/>
      <c r="D2" s="50"/>
      <c r="E2" s="50"/>
      <c r="H2" t="s">
        <v>161</v>
      </c>
      <c r="I2" t="s">
        <v>162</v>
      </c>
      <c r="J2" t="s">
        <v>164</v>
      </c>
      <c r="K2" t="s">
        <v>166</v>
      </c>
      <c r="L2" s="12" t="s">
        <v>187</v>
      </c>
      <c r="M2" t="s">
        <v>188</v>
      </c>
      <c r="S2" t="s">
        <v>189</v>
      </c>
    </row>
    <row r="3" spans="1:19" hidden="1" x14ac:dyDescent="0.35">
      <c r="A3" s="52" t="s">
        <v>151</v>
      </c>
      <c r="B3" s="50"/>
      <c r="C3" s="50"/>
      <c r="D3" s="50"/>
      <c r="E3" s="50"/>
      <c r="G3" t="s">
        <v>3</v>
      </c>
      <c r="I3" t="s">
        <v>163</v>
      </c>
      <c r="J3" t="s">
        <v>165</v>
      </c>
      <c r="K3" t="s">
        <v>167</v>
      </c>
      <c r="L3" s="12" t="s">
        <v>176</v>
      </c>
    </row>
    <row r="4" spans="1:19" hidden="1" x14ac:dyDescent="0.35">
      <c r="B4">
        <v>2023</v>
      </c>
      <c r="C4">
        <v>2024</v>
      </c>
      <c r="D4">
        <v>2025</v>
      </c>
      <c r="G4" t="s">
        <v>160</v>
      </c>
      <c r="H4">
        <v>2026</v>
      </c>
      <c r="I4" s="12" t="s">
        <v>169</v>
      </c>
      <c r="J4" s="12"/>
      <c r="K4" s="12"/>
    </row>
    <row r="5" spans="1:19" ht="24" x14ac:dyDescent="0.35">
      <c r="A5" s="1"/>
      <c r="B5" s="2" t="s">
        <v>0</v>
      </c>
      <c r="C5" s="2" t="s">
        <v>1</v>
      </c>
      <c r="D5" s="2" t="s">
        <v>175</v>
      </c>
      <c r="E5" s="2" t="s">
        <v>3</v>
      </c>
      <c r="F5" s="21" t="s">
        <v>171</v>
      </c>
      <c r="G5" s="2" t="s">
        <v>152</v>
      </c>
      <c r="H5" s="2" t="s">
        <v>152</v>
      </c>
      <c r="I5" s="2" t="s">
        <v>152</v>
      </c>
      <c r="J5" s="2" t="s">
        <v>152</v>
      </c>
      <c r="K5" s="2" t="s">
        <v>152</v>
      </c>
      <c r="L5" s="26" t="s">
        <v>152</v>
      </c>
      <c r="S5" t="s">
        <v>190</v>
      </c>
    </row>
    <row r="6" spans="1:19" x14ac:dyDescent="0.35">
      <c r="A6" s="3" t="s">
        <v>4</v>
      </c>
      <c r="B6" s="4"/>
      <c r="C6" s="4"/>
      <c r="D6" s="4"/>
      <c r="E6" s="4"/>
    </row>
    <row r="7" spans="1:19" hidden="1" x14ac:dyDescent="0.35">
      <c r="A7" s="3" t="s">
        <v>5</v>
      </c>
      <c r="B7" s="4"/>
      <c r="C7" s="4"/>
      <c r="D7" s="4"/>
      <c r="E7" s="5">
        <f t="shared" ref="E7:E37" si="0">((B7)+(C7))+(D7)</f>
        <v>0</v>
      </c>
    </row>
    <row r="8" spans="1:19" hidden="1" x14ac:dyDescent="0.35">
      <c r="A8" s="3" t="s">
        <v>6</v>
      </c>
      <c r="B8" s="5">
        <f>2000</f>
        <v>2000</v>
      </c>
      <c r="C8" s="4"/>
      <c r="D8" s="4"/>
      <c r="E8" s="7">
        <v>0</v>
      </c>
    </row>
    <row r="9" spans="1:19" hidden="1" x14ac:dyDescent="0.35">
      <c r="A9" s="3" t="s">
        <v>7</v>
      </c>
      <c r="B9" s="6">
        <f>(B7)+(B8)</f>
        <v>2000</v>
      </c>
      <c r="C9" s="6">
        <f>(C7)+(C8)</f>
        <v>0</v>
      </c>
      <c r="D9" s="6">
        <f>(D7)+(D8)</f>
        <v>0</v>
      </c>
      <c r="E9" s="6">
        <v>0</v>
      </c>
      <c r="F9" s="14">
        <f>IF(D9=0,0,IFERROR((D9-B9)/B9,0))</f>
        <v>0</v>
      </c>
      <c r="G9" s="6">
        <f>E9/3</f>
        <v>0</v>
      </c>
      <c r="H9" s="6">
        <v>0</v>
      </c>
      <c r="I9" s="17">
        <f>D9*F9</f>
        <v>0</v>
      </c>
      <c r="J9" s="17">
        <f>D9*(F9/2)</f>
        <v>0</v>
      </c>
      <c r="K9" s="17">
        <f>D9</f>
        <v>0</v>
      </c>
      <c r="L9" s="27">
        <f>E9</f>
        <v>0</v>
      </c>
    </row>
    <row r="10" spans="1:19" hidden="1" outlineLevel="1" x14ac:dyDescent="0.35">
      <c r="A10" s="3" t="s">
        <v>8</v>
      </c>
      <c r="B10" s="4"/>
      <c r="C10" s="4"/>
      <c r="D10" s="4"/>
      <c r="E10" s="5">
        <f t="shared" si="0"/>
        <v>0</v>
      </c>
      <c r="F10" s="15">
        <f t="shared" ref="F10:F73" si="1">IF(D10=0,0,IFERROR((D10-B10)/B10,0))</f>
        <v>0</v>
      </c>
      <c r="G10" s="4">
        <f t="shared" ref="G10:G69" si="2">E10/3</f>
        <v>0</v>
      </c>
      <c r="H10" s="4">
        <f t="shared" ref="H10:H71" si="3">IFERROR(_xlfn.FORECAST.LINEAR($H$4,B10:D10,$B$4:$D$4),0)</f>
        <v>0</v>
      </c>
      <c r="I10" s="4">
        <f t="shared" ref="I10:I14" si="4">D10*MIN((1+F10),1)</f>
        <v>0</v>
      </c>
      <c r="J10" s="4">
        <f>D10*MIN((1+F10/2),1)</f>
        <v>0</v>
      </c>
      <c r="K10" s="4">
        <f t="shared" ref="K10:L61" si="5">D10</f>
        <v>0</v>
      </c>
      <c r="L10" s="28">
        <f t="shared" si="5"/>
        <v>0</v>
      </c>
    </row>
    <row r="11" spans="1:19" hidden="1" outlineLevel="1" x14ac:dyDescent="0.35">
      <c r="A11" s="3"/>
      <c r="B11" s="4"/>
      <c r="C11" s="5">
        <f>317.16</f>
        <v>317.16000000000003</v>
      </c>
      <c r="D11" s="4"/>
      <c r="E11" s="5">
        <f t="shared" si="0"/>
        <v>317.16000000000003</v>
      </c>
      <c r="F11" s="15">
        <f t="shared" si="1"/>
        <v>0</v>
      </c>
      <c r="G11" s="4">
        <f t="shared" si="2"/>
        <v>105.72000000000001</v>
      </c>
      <c r="H11" s="4">
        <f t="shared" si="3"/>
        <v>0</v>
      </c>
      <c r="I11" s="4">
        <f t="shared" si="4"/>
        <v>0</v>
      </c>
      <c r="J11" s="4">
        <f t="shared" ref="J11:J61" si="6">D11*MIN((1+F11/2),1)</f>
        <v>0</v>
      </c>
      <c r="K11" s="4">
        <f t="shared" si="5"/>
        <v>0</v>
      </c>
      <c r="L11" s="28">
        <v>0</v>
      </c>
    </row>
    <row r="12" spans="1:19" hidden="1" outlineLevel="1" x14ac:dyDescent="0.35">
      <c r="A12" s="3"/>
      <c r="B12" s="5">
        <f>40608.77+25220.14</f>
        <v>65828.91</v>
      </c>
      <c r="C12" s="5">
        <f>60590.6</f>
        <v>60590.6</v>
      </c>
      <c r="D12" s="5">
        <f>42586.17+4500+370+2500</f>
        <v>49956.17</v>
      </c>
      <c r="E12" s="5">
        <f t="shared" si="0"/>
        <v>176375.67999999999</v>
      </c>
      <c r="F12" s="15">
        <f t="shared" si="1"/>
        <v>-0.24112111228941821</v>
      </c>
      <c r="G12" s="5">
        <f t="shared" si="2"/>
        <v>58791.893333333333</v>
      </c>
      <c r="H12" s="5">
        <f t="shared" si="3"/>
        <v>42919.15333333239</v>
      </c>
      <c r="I12" s="5">
        <f t="shared" si="4"/>
        <v>37910.682723880731</v>
      </c>
      <c r="J12" s="5">
        <f t="shared" si="6"/>
        <v>43933.426361940365</v>
      </c>
      <c r="K12" s="5">
        <f t="shared" si="5"/>
        <v>49956.17</v>
      </c>
      <c r="L12" s="29">
        <f>J12</f>
        <v>43933.426361940365</v>
      </c>
    </row>
    <row r="13" spans="1:19" hidden="1" outlineLevel="1" x14ac:dyDescent="0.35">
      <c r="A13" s="3" t="s">
        <v>11</v>
      </c>
      <c r="B13" s="5">
        <f>675</f>
        <v>675</v>
      </c>
      <c r="C13" s="5">
        <f>1425</f>
        <v>1425</v>
      </c>
      <c r="D13" s="5">
        <f>50</f>
        <v>50</v>
      </c>
      <c r="E13" s="5">
        <f t="shared" si="0"/>
        <v>2150</v>
      </c>
      <c r="F13" s="15">
        <f t="shared" si="1"/>
        <v>-0.92592592592592593</v>
      </c>
      <c r="G13" s="5">
        <f t="shared" si="2"/>
        <v>716.66666666666663</v>
      </c>
      <c r="H13" s="5">
        <f t="shared" si="3"/>
        <v>91.666666666627862</v>
      </c>
      <c r="I13" s="5">
        <f t="shared" si="4"/>
        <v>3.7037037037037033</v>
      </c>
      <c r="J13" s="5">
        <f t="shared" si="6"/>
        <v>26.851851851851848</v>
      </c>
      <c r="K13" s="5">
        <f t="shared" si="5"/>
        <v>50</v>
      </c>
      <c r="L13" s="29">
        <v>0</v>
      </c>
    </row>
    <row r="14" spans="1:19" hidden="1" outlineLevel="1" x14ac:dyDescent="0.35">
      <c r="A14" s="3" t="s">
        <v>12</v>
      </c>
      <c r="B14" s="5">
        <f>3000</f>
        <v>3000</v>
      </c>
      <c r="C14" s="4"/>
      <c r="D14" s="4"/>
      <c r="E14" s="7">
        <v>0</v>
      </c>
      <c r="F14" s="15">
        <f t="shared" si="1"/>
        <v>0</v>
      </c>
      <c r="G14" s="4">
        <f t="shared" si="2"/>
        <v>0</v>
      </c>
      <c r="H14" s="4">
        <f t="shared" si="3"/>
        <v>0</v>
      </c>
      <c r="I14" s="4">
        <f t="shared" si="4"/>
        <v>0</v>
      </c>
      <c r="J14" s="4">
        <f t="shared" si="6"/>
        <v>0</v>
      </c>
      <c r="K14" s="4">
        <f t="shared" si="5"/>
        <v>0</v>
      </c>
      <c r="L14" s="28">
        <f t="shared" si="5"/>
        <v>0</v>
      </c>
      <c r="O14" t="s">
        <v>168</v>
      </c>
      <c r="R14" t="s">
        <v>181</v>
      </c>
    </row>
    <row r="15" spans="1:19" collapsed="1" x14ac:dyDescent="0.35">
      <c r="A15" s="3" t="s">
        <v>13</v>
      </c>
      <c r="B15" s="6">
        <f>((((B10)+(B11))+(B12))+(B13))+(B14)</f>
        <v>69503.91</v>
      </c>
      <c r="C15" s="6">
        <f>((((C10)+(C11))+(C12))+(C13))+(C14)</f>
        <v>62332.76</v>
      </c>
      <c r="D15" s="6">
        <f>((((D10)+(D11))+(D12))+(D13))+(D14)</f>
        <v>50006.17</v>
      </c>
      <c r="E15" s="6">
        <f t="shared" si="0"/>
        <v>181842.84000000003</v>
      </c>
      <c r="F15" s="13">
        <f t="shared" si="1"/>
        <v>-0.28052723940279051</v>
      </c>
      <c r="G15" s="6">
        <f t="shared" si="2"/>
        <v>60614.280000000006</v>
      </c>
      <c r="H15" s="6">
        <f t="shared" si="3"/>
        <v>41116.540000002831</v>
      </c>
      <c r="I15" s="6">
        <f>D15*MIN((1+F15),1)</f>
        <v>35978.077176793362</v>
      </c>
      <c r="J15" s="6">
        <f t="shared" si="6"/>
        <v>42992.12358839668</v>
      </c>
      <c r="K15" s="6">
        <f t="shared" si="5"/>
        <v>50006.17</v>
      </c>
      <c r="L15" s="11">
        <f>((((L10)+(L11))+(L12))+(L13))+(L14)</f>
        <v>43933.426361940365</v>
      </c>
      <c r="M15">
        <v>3487.62</v>
      </c>
      <c r="N15" t="str">
        <f>A15</f>
        <v xml:space="preserve">   Total Direct Public Support</v>
      </c>
      <c r="O15" s="31">
        <f>L15</f>
        <v>43933.426361940365</v>
      </c>
      <c r="Q15" t="str">
        <f>A72</f>
        <v xml:space="preserve">   Total Business Expenses</v>
      </c>
      <c r="R15" s="31">
        <f>L72</f>
        <v>2417.9157656041471</v>
      </c>
      <c r="S15" s="46">
        <f>SUM(M15/L15)</f>
        <v>7.9384202162327444E-2</v>
      </c>
    </row>
    <row r="16" spans="1:19" hidden="1" outlineLevel="1" x14ac:dyDescent="0.35">
      <c r="A16" s="3" t="s">
        <v>14</v>
      </c>
      <c r="B16" s="5">
        <f>250</f>
        <v>250</v>
      </c>
      <c r="C16" s="5">
        <f>5315</f>
        <v>5315</v>
      </c>
      <c r="D16" s="5">
        <f>370</f>
        <v>370</v>
      </c>
      <c r="E16" s="5">
        <f t="shared" si="0"/>
        <v>5935</v>
      </c>
      <c r="F16" s="15">
        <f t="shared" si="1"/>
        <v>0.48</v>
      </c>
      <c r="G16" s="5">
        <f t="shared" si="2"/>
        <v>1978.3333333333333</v>
      </c>
      <c r="H16" s="5">
        <f t="shared" si="3"/>
        <v>2098.3333333333285</v>
      </c>
      <c r="I16" s="5"/>
      <c r="J16" s="5"/>
      <c r="K16" s="5"/>
      <c r="L16" s="29"/>
      <c r="N16" t="str">
        <f>A38</f>
        <v xml:space="preserve">   Total Fundraising Events</v>
      </c>
      <c r="O16" s="31">
        <f>L38</f>
        <v>25300</v>
      </c>
      <c r="Q16" t="str">
        <f>A76</f>
        <v xml:space="preserve">   Total Contract Services</v>
      </c>
      <c r="R16" s="31">
        <f>L76</f>
        <v>600</v>
      </c>
      <c r="S16" s="46" t="e">
        <f t="shared" ref="S16:S79" si="7">SUM(M16/L16)</f>
        <v>#DIV/0!</v>
      </c>
    </row>
    <row r="17" spans="1:19" hidden="1" outlineLevel="1" x14ac:dyDescent="0.35">
      <c r="A17" s="3" t="s">
        <v>153</v>
      </c>
      <c r="B17" s="5">
        <f>1240</f>
        <v>1240</v>
      </c>
      <c r="C17" s="4"/>
      <c r="D17" s="5">
        <f>1300</f>
        <v>1300</v>
      </c>
      <c r="E17" s="5">
        <f>((B17)+(C17))+(D17)</f>
        <v>2540</v>
      </c>
      <c r="F17" s="15">
        <f t="shared" si="1"/>
        <v>4.8387096774193547E-2</v>
      </c>
      <c r="G17" s="5">
        <f t="shared" si="2"/>
        <v>846.66666666666663</v>
      </c>
      <c r="H17" s="5">
        <f t="shared" si="3"/>
        <v>1330</v>
      </c>
      <c r="I17" s="5">
        <f t="shared" ref="I17:I61" si="8">D17*MIN((1+F17),1)</f>
        <v>1300</v>
      </c>
      <c r="J17" s="5">
        <f t="shared" si="6"/>
        <v>1300</v>
      </c>
      <c r="K17" s="5">
        <f t="shared" si="5"/>
        <v>1300</v>
      </c>
      <c r="L17" s="29">
        <f>K17</f>
        <v>1300</v>
      </c>
      <c r="N17" t="str">
        <f>A43</f>
        <v xml:space="preserve">   Total Indirect Public Support</v>
      </c>
      <c r="O17" s="31">
        <f>L42</f>
        <v>20400</v>
      </c>
      <c r="Q17" t="str">
        <f>A95</f>
        <v xml:space="preserve">   Total Fundraising</v>
      </c>
      <c r="R17" s="31">
        <f>L95</f>
        <v>12266.606</v>
      </c>
      <c r="S17" s="46">
        <f t="shared" si="7"/>
        <v>0</v>
      </c>
    </row>
    <row r="18" spans="1:19" hidden="1" outlineLevel="1" x14ac:dyDescent="0.35">
      <c r="A18" s="3" t="s">
        <v>154</v>
      </c>
      <c r="B18" s="5">
        <f>6810</f>
        <v>6810</v>
      </c>
      <c r="C18" s="5">
        <f>3940</f>
        <v>3940</v>
      </c>
      <c r="D18" s="5">
        <f>6540</f>
        <v>6540</v>
      </c>
      <c r="E18" s="5">
        <f>((B18)+(C18))+(D18)</f>
        <v>17290</v>
      </c>
      <c r="F18" s="15">
        <f t="shared" si="1"/>
        <v>-3.9647577092511016E-2</v>
      </c>
      <c r="G18" s="5">
        <f t="shared" si="2"/>
        <v>5763.333333333333</v>
      </c>
      <c r="H18" s="5">
        <f t="shared" si="3"/>
        <v>5493.3333333333139</v>
      </c>
      <c r="I18" s="5">
        <f t="shared" si="8"/>
        <v>6280.7048458149784</v>
      </c>
      <c r="J18" s="5">
        <f t="shared" si="6"/>
        <v>6410.3524229074883</v>
      </c>
      <c r="K18" s="5">
        <f t="shared" si="5"/>
        <v>6540</v>
      </c>
      <c r="L18" s="29">
        <v>5000</v>
      </c>
      <c r="N18" t="str">
        <f>A46</f>
        <v xml:space="preserve">   Total Investments</v>
      </c>
      <c r="O18" s="31">
        <f>L46</f>
        <v>644.61</v>
      </c>
      <c r="Q18" t="str">
        <f>A101</f>
        <v xml:space="preserve">   Total Media Support</v>
      </c>
      <c r="R18" s="31">
        <f>L101</f>
        <v>18930.560000000001</v>
      </c>
      <c r="S18" s="46">
        <f t="shared" si="7"/>
        <v>0</v>
      </c>
    </row>
    <row r="19" spans="1:19" hidden="1" outlineLevel="1" x14ac:dyDescent="0.35">
      <c r="A19" s="3" t="s">
        <v>155</v>
      </c>
      <c r="B19" s="5">
        <f>6830</f>
        <v>6830</v>
      </c>
      <c r="C19" s="5">
        <f>8440</f>
        <v>8440</v>
      </c>
      <c r="D19" s="5">
        <f>5180</f>
        <v>5180</v>
      </c>
      <c r="E19" s="5">
        <f>((B19)+(C19))+(D19)</f>
        <v>20450</v>
      </c>
      <c r="F19" s="15">
        <f t="shared" si="1"/>
        <v>-0.24158125915080528</v>
      </c>
      <c r="G19" s="5">
        <f t="shared" si="2"/>
        <v>6816.666666666667</v>
      </c>
      <c r="H19" s="5">
        <f t="shared" si="3"/>
        <v>5166.6666666667443</v>
      </c>
      <c r="I19" s="5">
        <f t="shared" si="8"/>
        <v>3928.6090775988287</v>
      </c>
      <c r="J19" s="5">
        <f t="shared" si="6"/>
        <v>4554.3045387994143</v>
      </c>
      <c r="K19" s="5">
        <f t="shared" si="5"/>
        <v>5180</v>
      </c>
      <c r="L19" s="29">
        <v>5000</v>
      </c>
      <c r="N19" t="str">
        <f>A54</f>
        <v xml:space="preserve">   Total Membership Dues</v>
      </c>
      <c r="O19" s="31">
        <f>L54</f>
        <v>10303.429801570754</v>
      </c>
      <c r="Q19" t="str">
        <f>A115</f>
        <v xml:space="preserve">   Total Operations</v>
      </c>
      <c r="R19" s="31">
        <f>L115</f>
        <v>9655.971435345873</v>
      </c>
      <c r="S19" s="46">
        <f t="shared" si="7"/>
        <v>0</v>
      </c>
    </row>
    <row r="20" spans="1:19" hidden="1" outlineLevel="1" x14ac:dyDescent="0.35">
      <c r="A20" s="3" t="s">
        <v>15</v>
      </c>
      <c r="B20" s="5">
        <f>370</f>
        <v>370</v>
      </c>
      <c r="C20" s="4"/>
      <c r="D20" s="4"/>
      <c r="E20" s="7">
        <v>0</v>
      </c>
      <c r="F20" s="15">
        <f t="shared" si="1"/>
        <v>0</v>
      </c>
      <c r="G20" s="4">
        <f t="shared" si="2"/>
        <v>0</v>
      </c>
      <c r="H20" s="4">
        <f t="shared" si="3"/>
        <v>0</v>
      </c>
      <c r="I20" s="4">
        <f t="shared" si="8"/>
        <v>0</v>
      </c>
      <c r="J20" s="4">
        <f t="shared" si="6"/>
        <v>0</v>
      </c>
      <c r="K20" s="4">
        <f t="shared" si="5"/>
        <v>0</v>
      </c>
      <c r="L20" s="28">
        <f t="shared" si="5"/>
        <v>0</v>
      </c>
      <c r="S20" s="46" t="e">
        <f t="shared" si="7"/>
        <v>#DIV/0!</v>
      </c>
    </row>
    <row r="21" spans="1:19" hidden="1" outlineLevel="1" x14ac:dyDescent="0.35">
      <c r="A21" s="3" t="s">
        <v>16</v>
      </c>
      <c r="B21" s="4"/>
      <c r="C21" s="5"/>
      <c r="D21" s="4"/>
      <c r="E21" s="7">
        <v>0</v>
      </c>
      <c r="F21" s="15">
        <f t="shared" si="1"/>
        <v>0</v>
      </c>
      <c r="G21" s="4">
        <f t="shared" si="2"/>
        <v>0</v>
      </c>
      <c r="H21" s="4">
        <f t="shared" si="3"/>
        <v>0</v>
      </c>
      <c r="I21" s="4">
        <f t="shared" si="8"/>
        <v>0</v>
      </c>
      <c r="J21" s="4">
        <f t="shared" si="6"/>
        <v>0</v>
      </c>
      <c r="K21" s="4">
        <f t="shared" si="5"/>
        <v>0</v>
      </c>
      <c r="L21" s="28">
        <f t="shared" si="5"/>
        <v>0</v>
      </c>
      <c r="S21" s="46" t="e">
        <f t="shared" si="7"/>
        <v>#DIV/0!</v>
      </c>
    </row>
    <row r="22" spans="1:19" hidden="1" outlineLevel="1" x14ac:dyDescent="0.35">
      <c r="A22" s="3" t="s">
        <v>17</v>
      </c>
      <c r="B22" s="4"/>
      <c r="C22" s="5"/>
      <c r="D22" s="4"/>
      <c r="E22" s="7">
        <v>0</v>
      </c>
      <c r="F22" s="15">
        <f t="shared" si="1"/>
        <v>0</v>
      </c>
      <c r="G22" s="4">
        <f t="shared" si="2"/>
        <v>0</v>
      </c>
      <c r="H22" s="4">
        <f t="shared" si="3"/>
        <v>0</v>
      </c>
      <c r="I22" s="4">
        <f t="shared" si="8"/>
        <v>0</v>
      </c>
      <c r="J22" s="4">
        <f t="shared" si="6"/>
        <v>0</v>
      </c>
      <c r="K22" s="4">
        <f t="shared" si="5"/>
        <v>0</v>
      </c>
      <c r="L22" s="28">
        <f t="shared" si="5"/>
        <v>0</v>
      </c>
      <c r="S22" s="46" t="e">
        <f t="shared" si="7"/>
        <v>#DIV/0!</v>
      </c>
    </row>
    <row r="23" spans="1:19" hidden="1" outlineLevel="1" x14ac:dyDescent="0.35">
      <c r="A23" s="3" t="s">
        <v>18</v>
      </c>
      <c r="B23" s="4"/>
      <c r="C23" s="4"/>
      <c r="D23" s="5"/>
      <c r="E23" s="7">
        <v>0</v>
      </c>
      <c r="F23" s="15">
        <f t="shared" si="1"/>
        <v>0</v>
      </c>
      <c r="G23" s="5">
        <f t="shared" si="2"/>
        <v>0</v>
      </c>
      <c r="H23" s="5">
        <f t="shared" si="3"/>
        <v>0</v>
      </c>
      <c r="I23" s="5">
        <f t="shared" si="8"/>
        <v>0</v>
      </c>
      <c r="J23" s="5">
        <f t="shared" si="6"/>
        <v>0</v>
      </c>
      <c r="K23" s="5">
        <f t="shared" si="5"/>
        <v>0</v>
      </c>
      <c r="L23" s="29">
        <f t="shared" si="5"/>
        <v>0</v>
      </c>
      <c r="S23" s="46" t="e">
        <f t="shared" si="7"/>
        <v>#DIV/0!</v>
      </c>
    </row>
    <row r="24" spans="1:19" hidden="1" outlineLevel="1" x14ac:dyDescent="0.35">
      <c r="A24" s="3" t="s">
        <v>19</v>
      </c>
      <c r="B24" s="4"/>
      <c r="C24" s="4"/>
      <c r="D24" s="5"/>
      <c r="E24" s="7">
        <v>0</v>
      </c>
      <c r="F24" s="15">
        <f t="shared" si="1"/>
        <v>0</v>
      </c>
      <c r="G24" s="5">
        <f t="shared" si="2"/>
        <v>0</v>
      </c>
      <c r="H24" s="5">
        <f t="shared" si="3"/>
        <v>0</v>
      </c>
      <c r="I24" s="5">
        <f t="shared" si="8"/>
        <v>0</v>
      </c>
      <c r="J24" s="5">
        <f t="shared" si="6"/>
        <v>0</v>
      </c>
      <c r="K24" s="5">
        <f t="shared" si="5"/>
        <v>0</v>
      </c>
      <c r="L24" s="29">
        <f t="shared" si="5"/>
        <v>0</v>
      </c>
      <c r="S24" s="46" t="e">
        <f t="shared" si="7"/>
        <v>#DIV/0!</v>
      </c>
    </row>
    <row r="25" spans="1:19" hidden="1" outlineLevel="1" x14ac:dyDescent="0.35">
      <c r="A25" s="3" t="s">
        <v>20</v>
      </c>
      <c r="B25" s="4"/>
      <c r="C25" s="4"/>
      <c r="D25" s="5"/>
      <c r="E25" s="7">
        <v>0</v>
      </c>
      <c r="F25" s="15">
        <f t="shared" si="1"/>
        <v>0</v>
      </c>
      <c r="G25" s="5">
        <f t="shared" si="2"/>
        <v>0</v>
      </c>
      <c r="H25" s="5">
        <f t="shared" si="3"/>
        <v>0</v>
      </c>
      <c r="I25" s="5">
        <f t="shared" si="8"/>
        <v>0</v>
      </c>
      <c r="J25" s="5">
        <f t="shared" si="6"/>
        <v>0</v>
      </c>
      <c r="K25" s="5">
        <f t="shared" si="5"/>
        <v>0</v>
      </c>
      <c r="L25" s="29">
        <f t="shared" si="5"/>
        <v>0</v>
      </c>
      <c r="S25" s="46" t="e">
        <f t="shared" si="7"/>
        <v>#DIV/0!</v>
      </c>
    </row>
    <row r="26" spans="1:19" hidden="1" outlineLevel="1" x14ac:dyDescent="0.35">
      <c r="A26" s="3" t="s">
        <v>21</v>
      </c>
      <c r="B26" s="5">
        <f>727.44</f>
        <v>727.44</v>
      </c>
      <c r="C26" s="4"/>
      <c r="D26" s="4"/>
      <c r="E26" s="7">
        <v>0</v>
      </c>
      <c r="F26" s="15">
        <f t="shared" si="1"/>
        <v>0</v>
      </c>
      <c r="G26" s="4">
        <f t="shared" si="2"/>
        <v>0</v>
      </c>
      <c r="H26" s="4">
        <f t="shared" si="3"/>
        <v>0</v>
      </c>
      <c r="I26" s="4">
        <f t="shared" si="8"/>
        <v>0</v>
      </c>
      <c r="J26" s="4">
        <f t="shared" si="6"/>
        <v>0</v>
      </c>
      <c r="K26" s="4">
        <f t="shared" si="5"/>
        <v>0</v>
      </c>
      <c r="L26" s="28">
        <f t="shared" si="5"/>
        <v>0</v>
      </c>
      <c r="S26" s="46" t="e">
        <f t="shared" si="7"/>
        <v>#DIV/0!</v>
      </c>
    </row>
    <row r="27" spans="1:19" hidden="1" outlineLevel="1" x14ac:dyDescent="0.35">
      <c r="A27" s="3" t="s">
        <v>22</v>
      </c>
      <c r="B27" s="4"/>
      <c r="C27" s="5">
        <f>500</f>
        <v>500</v>
      </c>
      <c r="D27" s="4"/>
      <c r="E27" s="5">
        <f t="shared" si="0"/>
        <v>500</v>
      </c>
      <c r="F27" s="15">
        <f t="shared" si="1"/>
        <v>0</v>
      </c>
      <c r="G27" s="4">
        <f t="shared" si="2"/>
        <v>166.66666666666666</v>
      </c>
      <c r="H27" s="4">
        <f t="shared" si="3"/>
        <v>0</v>
      </c>
      <c r="I27" s="4">
        <f t="shared" si="8"/>
        <v>0</v>
      </c>
      <c r="J27" s="4">
        <f t="shared" si="6"/>
        <v>0</v>
      </c>
      <c r="K27" s="4">
        <f t="shared" si="5"/>
        <v>0</v>
      </c>
      <c r="L27" s="28">
        <v>0</v>
      </c>
      <c r="N27" t="str">
        <f>A57</f>
        <v xml:space="preserve">   Total Other Types of Income</v>
      </c>
      <c r="O27" s="31">
        <f>L57</f>
        <v>4955.0556028545079</v>
      </c>
      <c r="Q27" t="str">
        <f>A119</f>
        <v xml:space="preserve">   Total Other Types of Expenses</v>
      </c>
      <c r="R27" s="31">
        <f>L119</f>
        <v>420</v>
      </c>
      <c r="S27" s="46" t="e">
        <f t="shared" si="7"/>
        <v>#DIV/0!</v>
      </c>
    </row>
    <row r="28" spans="1:19" ht="15" hidden="1" outlineLevel="1" thickBot="1" x14ac:dyDescent="0.4">
      <c r="A28" s="3" t="s">
        <v>23</v>
      </c>
      <c r="B28" s="5">
        <f>100</f>
        <v>100</v>
      </c>
      <c r="C28" s="5">
        <f>-148.01</f>
        <v>-148.01</v>
      </c>
      <c r="D28" s="4"/>
      <c r="E28" s="5">
        <f t="shared" si="0"/>
        <v>-48.009999999999991</v>
      </c>
      <c r="F28" s="15">
        <f t="shared" si="1"/>
        <v>0</v>
      </c>
      <c r="G28" s="4">
        <f t="shared" si="2"/>
        <v>-16.00333333333333</v>
      </c>
      <c r="H28" s="4">
        <f t="shared" si="3"/>
        <v>-644.03000000002794</v>
      </c>
      <c r="I28" s="4">
        <f t="shared" si="8"/>
        <v>0</v>
      </c>
      <c r="J28" s="4">
        <f t="shared" si="6"/>
        <v>0</v>
      </c>
      <c r="K28" s="4">
        <f t="shared" si="5"/>
        <v>0</v>
      </c>
      <c r="L28" s="28">
        <v>0</v>
      </c>
      <c r="O28" s="32">
        <f>SUM(O15:O27)</f>
        <v>105536.52176636564</v>
      </c>
      <c r="Q28" t="str">
        <f>A129</f>
        <v xml:space="preserve">   Total Payroll Expenses</v>
      </c>
      <c r="R28" s="31">
        <f>L129</f>
        <v>37472.39</v>
      </c>
      <c r="S28" s="46" t="e">
        <f t="shared" si="7"/>
        <v>#DIV/0!</v>
      </c>
    </row>
    <row r="29" spans="1:19" hidden="1" outlineLevel="1" x14ac:dyDescent="0.35">
      <c r="A29" s="3" t="s">
        <v>24</v>
      </c>
      <c r="B29" s="8"/>
      <c r="C29" s="4"/>
      <c r="D29" s="4"/>
      <c r="E29" s="5">
        <f t="shared" si="0"/>
        <v>0</v>
      </c>
      <c r="F29" s="15">
        <f t="shared" si="1"/>
        <v>0</v>
      </c>
      <c r="G29" s="4">
        <f t="shared" si="2"/>
        <v>0</v>
      </c>
      <c r="H29" s="4">
        <f t="shared" si="3"/>
        <v>0</v>
      </c>
      <c r="I29" s="4">
        <f t="shared" si="8"/>
        <v>0</v>
      </c>
      <c r="J29" s="4">
        <f t="shared" si="6"/>
        <v>0</v>
      </c>
      <c r="K29" s="4">
        <f t="shared" si="5"/>
        <v>0</v>
      </c>
      <c r="L29" s="28">
        <f t="shared" si="5"/>
        <v>0</v>
      </c>
      <c r="S29" s="46" t="e">
        <f t="shared" si="7"/>
        <v>#DIV/0!</v>
      </c>
    </row>
    <row r="30" spans="1:19" ht="15" hidden="1" outlineLevel="1" thickTop="1" x14ac:dyDescent="0.35">
      <c r="A30" s="3" t="s">
        <v>25</v>
      </c>
      <c r="B30" s="4"/>
      <c r="C30" s="5">
        <f>1250</f>
        <v>1250</v>
      </c>
      <c r="D30" s="4"/>
      <c r="E30" s="5">
        <f t="shared" si="0"/>
        <v>1250</v>
      </c>
      <c r="F30" s="15">
        <f t="shared" si="1"/>
        <v>0</v>
      </c>
      <c r="G30" s="4">
        <f t="shared" si="2"/>
        <v>416.66666666666669</v>
      </c>
      <c r="H30" s="4">
        <f t="shared" si="3"/>
        <v>0</v>
      </c>
      <c r="I30" s="4">
        <f t="shared" si="8"/>
        <v>0</v>
      </c>
      <c r="J30" s="4">
        <f t="shared" si="6"/>
        <v>0</v>
      </c>
      <c r="K30" s="4">
        <f t="shared" si="5"/>
        <v>0</v>
      </c>
      <c r="L30" s="28">
        <v>0</v>
      </c>
      <c r="Q30" s="31" t="str">
        <f>A151</f>
        <v xml:space="preserve">   Total Public Education</v>
      </c>
      <c r="R30" s="31">
        <f>L151</f>
        <v>21564.271046883703</v>
      </c>
      <c r="S30" s="46" t="e">
        <f t="shared" si="7"/>
        <v>#DIV/0!</v>
      </c>
    </row>
    <row r="31" spans="1:19" hidden="1" outlineLevel="1" x14ac:dyDescent="0.35">
      <c r="A31" s="3" t="s">
        <v>26</v>
      </c>
      <c r="B31" s="4"/>
      <c r="C31" s="5">
        <f>825</f>
        <v>825</v>
      </c>
      <c r="D31" s="7">
        <v>0</v>
      </c>
      <c r="E31" s="7">
        <v>0</v>
      </c>
      <c r="F31" s="15">
        <f t="shared" si="1"/>
        <v>0</v>
      </c>
      <c r="G31" s="5">
        <f t="shared" si="2"/>
        <v>0</v>
      </c>
      <c r="H31" s="5">
        <v>0</v>
      </c>
      <c r="I31" s="5">
        <f t="shared" si="8"/>
        <v>0</v>
      </c>
      <c r="J31" s="5">
        <f t="shared" si="6"/>
        <v>0</v>
      </c>
      <c r="K31" s="5">
        <f t="shared" si="5"/>
        <v>0</v>
      </c>
      <c r="L31" s="29">
        <f t="shared" si="5"/>
        <v>0</v>
      </c>
      <c r="S31" s="46" t="e">
        <f t="shared" si="7"/>
        <v>#DIV/0!</v>
      </c>
    </row>
    <row r="32" spans="1:19" hidden="1" outlineLevel="1" x14ac:dyDescent="0.35">
      <c r="A32" s="3" t="s">
        <v>27</v>
      </c>
      <c r="B32" s="4"/>
      <c r="C32" s="5">
        <f>145</f>
        <v>145</v>
      </c>
      <c r="D32" s="4"/>
      <c r="E32" s="7">
        <v>0</v>
      </c>
      <c r="F32" s="15">
        <f t="shared" si="1"/>
        <v>0</v>
      </c>
      <c r="G32" s="4">
        <f t="shared" si="2"/>
        <v>0</v>
      </c>
      <c r="H32" s="4">
        <f t="shared" si="3"/>
        <v>0</v>
      </c>
      <c r="I32" s="4">
        <f t="shared" si="8"/>
        <v>0</v>
      </c>
      <c r="J32" s="4">
        <f t="shared" si="6"/>
        <v>0</v>
      </c>
      <c r="K32" s="4">
        <f t="shared" si="5"/>
        <v>0</v>
      </c>
      <c r="L32" s="28">
        <f t="shared" si="5"/>
        <v>0</v>
      </c>
      <c r="S32" s="46" t="e">
        <f t="shared" si="7"/>
        <v>#DIV/0!</v>
      </c>
    </row>
    <row r="33" spans="1:19" hidden="1" outlineLevel="1" x14ac:dyDescent="0.35">
      <c r="A33" s="3" t="s">
        <v>28</v>
      </c>
      <c r="B33" s="6">
        <f>(B31)+(B32)</f>
        <v>0</v>
      </c>
      <c r="C33" s="6">
        <f>(C31)+(C32)</f>
        <v>970</v>
      </c>
      <c r="D33" s="6">
        <f>(D31)+(D32)</f>
        <v>0</v>
      </c>
      <c r="E33" s="6">
        <f t="shared" si="0"/>
        <v>970</v>
      </c>
      <c r="F33" s="15">
        <f t="shared" si="1"/>
        <v>0</v>
      </c>
      <c r="G33" s="6">
        <f t="shared" si="2"/>
        <v>323.33333333333331</v>
      </c>
      <c r="H33" s="6">
        <v>0</v>
      </c>
      <c r="I33" s="6">
        <f t="shared" si="8"/>
        <v>0</v>
      </c>
      <c r="J33" s="6">
        <f t="shared" si="6"/>
        <v>0</v>
      </c>
      <c r="K33" s="6">
        <f t="shared" si="5"/>
        <v>0</v>
      </c>
      <c r="L33" s="11">
        <f t="shared" si="5"/>
        <v>970</v>
      </c>
      <c r="S33" s="46">
        <f t="shared" si="7"/>
        <v>0</v>
      </c>
    </row>
    <row r="34" spans="1:19" hidden="1" outlineLevel="1" x14ac:dyDescent="0.35">
      <c r="A34" s="3" t="s">
        <v>29</v>
      </c>
      <c r="B34" s="5">
        <f>352.65</f>
        <v>352.65</v>
      </c>
      <c r="C34" s="4"/>
      <c r="D34" s="4"/>
      <c r="E34" s="5">
        <f t="shared" si="0"/>
        <v>352.65</v>
      </c>
      <c r="F34" s="15">
        <f t="shared" si="1"/>
        <v>0</v>
      </c>
      <c r="G34" s="4">
        <f t="shared" si="2"/>
        <v>117.55</v>
      </c>
      <c r="H34" s="4">
        <f t="shared" si="3"/>
        <v>0</v>
      </c>
      <c r="I34" s="4">
        <f t="shared" si="8"/>
        <v>0</v>
      </c>
      <c r="J34" s="4">
        <f t="shared" si="6"/>
        <v>0</v>
      </c>
      <c r="K34" s="4">
        <f t="shared" si="5"/>
        <v>0</v>
      </c>
      <c r="L34" s="28">
        <v>0</v>
      </c>
      <c r="S34" s="46" t="e">
        <f t="shared" si="7"/>
        <v>#DIV/0!</v>
      </c>
    </row>
    <row r="35" spans="1:19" ht="15" hidden="1" outlineLevel="1" thickBot="1" x14ac:dyDescent="0.4">
      <c r="A35" s="3" t="s">
        <v>30</v>
      </c>
      <c r="B35" s="4"/>
      <c r="C35" s="4"/>
      <c r="D35" s="5">
        <f>107+173</f>
        <v>280</v>
      </c>
      <c r="E35" s="5">
        <f t="shared" si="0"/>
        <v>280</v>
      </c>
      <c r="F35" s="15">
        <f t="shared" si="1"/>
        <v>0</v>
      </c>
      <c r="G35" s="5">
        <f t="shared" si="2"/>
        <v>93.333333333333329</v>
      </c>
      <c r="H35" s="5">
        <f t="shared" si="3"/>
        <v>0</v>
      </c>
      <c r="I35" s="5">
        <f t="shared" si="8"/>
        <v>280</v>
      </c>
      <c r="J35" s="5">
        <f t="shared" si="6"/>
        <v>280</v>
      </c>
      <c r="K35" s="5">
        <f t="shared" si="5"/>
        <v>280</v>
      </c>
      <c r="L35" s="29">
        <f>J35</f>
        <v>280</v>
      </c>
      <c r="R35" s="32">
        <f>SUM(R15:R30)</f>
        <v>103327.71424783372</v>
      </c>
      <c r="S35" s="46">
        <f t="shared" si="7"/>
        <v>0</v>
      </c>
    </row>
    <row r="36" spans="1:19" ht="15" hidden="1" outlineLevel="1" thickTop="1" x14ac:dyDescent="0.35">
      <c r="A36" s="3" t="s">
        <v>31</v>
      </c>
      <c r="B36" s="5">
        <f>6500</f>
        <v>6500</v>
      </c>
      <c r="C36" s="5">
        <f>12750</f>
        <v>12750</v>
      </c>
      <c r="D36" s="5">
        <f>12750</f>
        <v>12750</v>
      </c>
      <c r="E36" s="5">
        <f t="shared" si="0"/>
        <v>32000</v>
      </c>
      <c r="F36" s="15">
        <v>-0.3</v>
      </c>
      <c r="G36" s="5">
        <f t="shared" si="2"/>
        <v>10666.666666666666</v>
      </c>
      <c r="H36" s="5">
        <f t="shared" si="3"/>
        <v>16916.666666666977</v>
      </c>
      <c r="I36" s="5">
        <f t="shared" si="8"/>
        <v>8925</v>
      </c>
      <c r="J36" s="5">
        <f t="shared" si="6"/>
        <v>10837.5</v>
      </c>
      <c r="K36" s="5">
        <f t="shared" si="5"/>
        <v>12750</v>
      </c>
      <c r="L36" s="29">
        <f>D36</f>
        <v>12750</v>
      </c>
      <c r="S36" s="46">
        <f t="shared" si="7"/>
        <v>0</v>
      </c>
    </row>
    <row r="37" spans="1:19" hidden="1" outlineLevel="1" x14ac:dyDescent="0.35">
      <c r="A37" s="3"/>
      <c r="B37" s="5">
        <f>770.62</f>
        <v>770.62</v>
      </c>
      <c r="C37" s="4"/>
      <c r="D37" s="4"/>
      <c r="E37" s="5">
        <f t="shared" si="0"/>
        <v>770.62</v>
      </c>
      <c r="F37" s="15">
        <f t="shared" si="1"/>
        <v>0</v>
      </c>
      <c r="G37" s="4">
        <f t="shared" si="2"/>
        <v>256.87333333333333</v>
      </c>
      <c r="H37" s="4">
        <f t="shared" si="3"/>
        <v>0</v>
      </c>
      <c r="I37" s="4">
        <f t="shared" si="8"/>
        <v>0</v>
      </c>
      <c r="J37" s="4">
        <f t="shared" si="6"/>
        <v>0</v>
      </c>
      <c r="K37" s="4">
        <f t="shared" si="5"/>
        <v>0</v>
      </c>
      <c r="L37" s="28">
        <v>0</v>
      </c>
      <c r="S37" s="46" t="e">
        <f t="shared" si="7"/>
        <v>#DIV/0!</v>
      </c>
    </row>
    <row r="38" spans="1:19" collapsed="1" x14ac:dyDescent="0.35">
      <c r="A38" s="3" t="s">
        <v>33</v>
      </c>
      <c r="B38" s="6">
        <f>(((((((((((((((((((B16)+(B17))+(B18))+(B19))+(B20))+(B21))+(B22))+(B23))+(B24))+(B25))+(B26))+(B27))+(B28))+(B29))+(B30))+(B33))+(B34))+(B35))+(B36))+(B37)</f>
        <v>23950.71</v>
      </c>
      <c r="C38" s="6">
        <f>(((((((((((((((((((C16)+(C17))+(C18))+(C19))+(C20))+(C21))+(C22))+(C23))+(C24))+(C25))+(C26))+(C27))+(C28))+(C29))+(C30))+(C33))+(C34))+(C35))+(C36))+(C37)</f>
        <v>33016.990000000005</v>
      </c>
      <c r="D38" s="6">
        <f>(((((((((((((((((((D16)+(D17))+(D18))+(D19))+(D20))+(D21))+(D22))+(D23))+(D24))+(D25))+(D26))+(D27))+(D28))+(D29))+(D30))+(D33))+(D34))+(D35))+(D36))+(D37)</f>
        <v>26420</v>
      </c>
      <c r="E38" s="6">
        <f>((B38)+(C38))+(D38)</f>
        <v>83387.700000000012</v>
      </c>
      <c r="F38" s="15">
        <f t="shared" si="1"/>
        <v>0.10309882254012516</v>
      </c>
      <c r="G38" s="6">
        <f t="shared" si="2"/>
        <v>27795.900000000005</v>
      </c>
      <c r="H38" s="6">
        <f t="shared" si="3"/>
        <v>30265.189999999944</v>
      </c>
      <c r="I38" s="6">
        <f t="shared" si="8"/>
        <v>26420</v>
      </c>
      <c r="J38" s="6">
        <f t="shared" si="6"/>
        <v>26420</v>
      </c>
      <c r="K38" s="6">
        <f t="shared" si="5"/>
        <v>26420</v>
      </c>
      <c r="L38" s="11">
        <f>(((((((((((((((((((L16)+(L17))+(L18))+(L19))+(L20))+(L21))+(L22))+(L23))+(L24))+(L25))+(L26))+(L27))+(L28))+(L29))+(L30))+(L33))+(L34))+(L35))+(L36))+(L37)</f>
        <v>25300</v>
      </c>
      <c r="M38">
        <v>500</v>
      </c>
      <c r="S38" s="46">
        <f t="shared" si="7"/>
        <v>1.9762845849802372E-2</v>
      </c>
    </row>
    <row r="39" spans="1:19" hidden="1" outlineLevel="1" x14ac:dyDescent="0.35">
      <c r="A39" s="3" t="s">
        <v>34</v>
      </c>
      <c r="B39" s="4"/>
      <c r="C39" s="4"/>
      <c r="D39" s="4"/>
      <c r="E39" s="5">
        <f>((B39)+(C39))+(D39)</f>
        <v>0</v>
      </c>
      <c r="F39" s="15">
        <f t="shared" si="1"/>
        <v>0</v>
      </c>
      <c r="G39" s="4">
        <f t="shared" si="2"/>
        <v>0</v>
      </c>
      <c r="H39" s="4">
        <f t="shared" si="3"/>
        <v>0</v>
      </c>
      <c r="I39" s="4">
        <f t="shared" si="8"/>
        <v>0</v>
      </c>
      <c r="J39" s="4">
        <f t="shared" si="6"/>
        <v>0</v>
      </c>
      <c r="K39" s="4">
        <f t="shared" si="5"/>
        <v>0</v>
      </c>
      <c r="L39" s="28">
        <f t="shared" si="5"/>
        <v>0</v>
      </c>
      <c r="S39" s="46" t="e">
        <f t="shared" si="7"/>
        <v>#DIV/0!</v>
      </c>
    </row>
    <row r="40" spans="1:19" hidden="1" outlineLevel="1" x14ac:dyDescent="0.35">
      <c r="A40" s="24" t="s">
        <v>172</v>
      </c>
      <c r="B40" s="4"/>
      <c r="C40" s="4"/>
      <c r="D40" s="4"/>
      <c r="E40" s="5">
        <f t="shared" ref="E40:E61" si="9">((B40)+(C40))+(D40)</f>
        <v>0</v>
      </c>
      <c r="F40" s="15">
        <f t="shared" si="1"/>
        <v>0</v>
      </c>
      <c r="G40" s="4">
        <f t="shared" si="2"/>
        <v>0</v>
      </c>
      <c r="H40" s="4">
        <f t="shared" si="3"/>
        <v>0</v>
      </c>
      <c r="I40" s="4">
        <v>10000</v>
      </c>
      <c r="J40" s="4">
        <v>10000</v>
      </c>
      <c r="K40" s="4">
        <v>10000</v>
      </c>
      <c r="L40" s="28">
        <v>10400</v>
      </c>
      <c r="S40" s="46">
        <f t="shared" si="7"/>
        <v>0</v>
      </c>
    </row>
    <row r="41" spans="1:19" hidden="1" outlineLevel="1" x14ac:dyDescent="0.35">
      <c r="A41" s="3" t="s">
        <v>36</v>
      </c>
      <c r="B41" s="5">
        <f>20119.34</f>
        <v>20119.34</v>
      </c>
      <c r="C41" s="5">
        <f>23148.87</f>
        <v>23148.87</v>
      </c>
      <c r="D41" s="5">
        <f>13370.32+6000</f>
        <v>19370.32</v>
      </c>
      <c r="E41" s="5">
        <f t="shared" si="9"/>
        <v>62638.53</v>
      </c>
      <c r="F41" s="15">
        <f t="shared" si="1"/>
        <v>-3.7228855419710612E-2</v>
      </c>
      <c r="G41" s="5">
        <f t="shared" si="2"/>
        <v>20879.509999999998</v>
      </c>
      <c r="H41" s="5">
        <f t="shared" si="3"/>
        <v>20130.489999999991</v>
      </c>
      <c r="I41" s="5">
        <v>2000</v>
      </c>
      <c r="J41" s="5">
        <v>4000</v>
      </c>
      <c r="K41" s="5">
        <v>8000</v>
      </c>
      <c r="L41" s="29">
        <v>10000</v>
      </c>
      <c r="S41" s="46">
        <f t="shared" si="7"/>
        <v>0</v>
      </c>
    </row>
    <row r="42" spans="1:19" hidden="1" outlineLevel="1" x14ac:dyDescent="0.35">
      <c r="A42" s="3" t="s">
        <v>37</v>
      </c>
      <c r="B42" s="6">
        <f>(B40)+(B41)</f>
        <v>20119.34</v>
      </c>
      <c r="C42" s="6">
        <f>(C40)+(C41)</f>
        <v>23148.87</v>
      </c>
      <c r="D42" s="6">
        <f>(D40)+(D41)</f>
        <v>19370.32</v>
      </c>
      <c r="E42" s="6">
        <f t="shared" si="9"/>
        <v>62638.53</v>
      </c>
      <c r="F42" s="15">
        <f t="shared" si="1"/>
        <v>-3.7228855419710612E-2</v>
      </c>
      <c r="G42" s="6">
        <f t="shared" si="2"/>
        <v>20879.509999999998</v>
      </c>
      <c r="H42" s="6">
        <f t="shared" si="3"/>
        <v>20130.489999999991</v>
      </c>
      <c r="I42" s="6">
        <f t="shared" si="8"/>
        <v>18649.185157286469</v>
      </c>
      <c r="J42" s="6">
        <f t="shared" si="6"/>
        <v>19009.752578643234</v>
      </c>
      <c r="K42" s="6">
        <f t="shared" si="5"/>
        <v>19370.32</v>
      </c>
      <c r="L42" s="11">
        <f>(L40)+(L41)</f>
        <v>20400</v>
      </c>
      <c r="S42" s="46">
        <f t="shared" si="7"/>
        <v>0</v>
      </c>
    </row>
    <row r="43" spans="1:19" collapsed="1" x14ac:dyDescent="0.35">
      <c r="A43" s="3" t="s">
        <v>38</v>
      </c>
      <c r="B43" s="6">
        <f>(B39)+(B42)</f>
        <v>20119.34</v>
      </c>
      <c r="C43" s="6">
        <f>(C39)+(C42)</f>
        <v>23148.87</v>
      </c>
      <c r="D43" s="6">
        <f>(D39)+(D42)</f>
        <v>19370.32</v>
      </c>
      <c r="E43" s="6">
        <f t="shared" si="9"/>
        <v>62638.53</v>
      </c>
      <c r="F43" s="15">
        <f t="shared" si="1"/>
        <v>-3.7228855419710612E-2</v>
      </c>
      <c r="G43" s="6">
        <f t="shared" si="2"/>
        <v>20879.509999999998</v>
      </c>
      <c r="H43" s="6">
        <f t="shared" si="3"/>
        <v>20130.489999999991</v>
      </c>
      <c r="I43" s="6">
        <f t="shared" si="8"/>
        <v>18649.185157286469</v>
      </c>
      <c r="J43" s="6">
        <f t="shared" si="6"/>
        <v>19009.752578643234</v>
      </c>
      <c r="K43" s="6">
        <f t="shared" si="5"/>
        <v>19370.32</v>
      </c>
      <c r="L43" s="11">
        <f>(L39)+(L42)</f>
        <v>20400</v>
      </c>
      <c r="S43" s="46">
        <f t="shared" si="7"/>
        <v>0</v>
      </c>
    </row>
    <row r="44" spans="1:19" ht="18" hidden="1" customHeight="1" outlineLevel="1" x14ac:dyDescent="0.35">
      <c r="A44" s="3" t="s">
        <v>39</v>
      </c>
      <c r="B44" s="4"/>
      <c r="C44" s="4"/>
      <c r="D44" s="4"/>
      <c r="E44" s="5">
        <f t="shared" si="9"/>
        <v>0</v>
      </c>
      <c r="F44" s="15">
        <f t="shared" si="1"/>
        <v>0</v>
      </c>
      <c r="G44" s="4">
        <f t="shared" si="2"/>
        <v>0</v>
      </c>
      <c r="H44" s="4">
        <f t="shared" si="3"/>
        <v>0</v>
      </c>
      <c r="I44" s="4">
        <f t="shared" si="8"/>
        <v>0</v>
      </c>
      <c r="J44" s="4">
        <f t="shared" si="6"/>
        <v>0</v>
      </c>
      <c r="K44" s="4">
        <f t="shared" si="5"/>
        <v>0</v>
      </c>
      <c r="L44" s="28">
        <f t="shared" si="5"/>
        <v>0</v>
      </c>
      <c r="S44" s="46" t="e">
        <f t="shared" si="7"/>
        <v>#DIV/0!</v>
      </c>
    </row>
    <row r="45" spans="1:19" ht="22" hidden="1" outlineLevel="1" x14ac:dyDescent="0.35">
      <c r="A45" s="3" t="s">
        <v>40</v>
      </c>
      <c r="B45" s="5">
        <f>340.47</f>
        <v>340.47</v>
      </c>
      <c r="C45" s="5">
        <f>210.38</f>
        <v>210.38</v>
      </c>
      <c r="D45" s="5">
        <f>93.76</f>
        <v>93.76</v>
      </c>
      <c r="E45" s="5">
        <f t="shared" si="9"/>
        <v>644.61</v>
      </c>
      <c r="F45" s="15">
        <f t="shared" si="1"/>
        <v>-0.72461597203865247</v>
      </c>
      <c r="G45" s="5">
        <f t="shared" si="2"/>
        <v>214.87</v>
      </c>
      <c r="H45" s="5">
        <f t="shared" si="3"/>
        <v>-31.839999999996508</v>
      </c>
      <c r="I45" s="5">
        <f t="shared" si="8"/>
        <v>25.820006461655947</v>
      </c>
      <c r="J45" s="5">
        <f t="shared" si="6"/>
        <v>59.790003230827978</v>
      </c>
      <c r="K45" s="5">
        <f t="shared" si="5"/>
        <v>93.76</v>
      </c>
      <c r="L45" s="29">
        <f>I45</f>
        <v>25.820006461655947</v>
      </c>
      <c r="S45" s="46">
        <f t="shared" si="7"/>
        <v>0</v>
      </c>
    </row>
    <row r="46" spans="1:19" collapsed="1" x14ac:dyDescent="0.35">
      <c r="A46" s="3" t="s">
        <v>41</v>
      </c>
      <c r="B46" s="6">
        <f>(B44)+(B45)</f>
        <v>340.47</v>
      </c>
      <c r="C46" s="6">
        <f>(C44)+(C45)</f>
        <v>210.38</v>
      </c>
      <c r="D46" s="6">
        <f>(D44)+(D45)</f>
        <v>93.76</v>
      </c>
      <c r="E46" s="6">
        <f t="shared" si="9"/>
        <v>644.61</v>
      </c>
      <c r="F46" s="15">
        <f t="shared" si="1"/>
        <v>-0.72461597203865247</v>
      </c>
      <c r="G46" s="6">
        <f t="shared" si="2"/>
        <v>214.87</v>
      </c>
      <c r="H46" s="6">
        <f t="shared" si="3"/>
        <v>-31.839999999996508</v>
      </c>
      <c r="I46" s="6">
        <f t="shared" si="8"/>
        <v>25.820006461655947</v>
      </c>
      <c r="J46" s="6">
        <f t="shared" si="6"/>
        <v>59.790003230827978</v>
      </c>
      <c r="K46" s="6">
        <f t="shared" si="5"/>
        <v>93.76</v>
      </c>
      <c r="L46" s="11">
        <f t="shared" si="5"/>
        <v>644.61</v>
      </c>
      <c r="M46">
        <v>7.68</v>
      </c>
      <c r="S46" s="46">
        <f t="shared" si="7"/>
        <v>1.1914180667380276E-2</v>
      </c>
    </row>
    <row r="47" spans="1:19" hidden="1" x14ac:dyDescent="0.35">
      <c r="A47" s="3" t="s">
        <v>42</v>
      </c>
      <c r="B47" s="4"/>
      <c r="C47" s="5">
        <f>-250</f>
        <v>-250</v>
      </c>
      <c r="D47" s="4"/>
      <c r="E47" s="5">
        <f t="shared" si="9"/>
        <v>-250</v>
      </c>
      <c r="F47" s="15">
        <f t="shared" si="1"/>
        <v>0</v>
      </c>
      <c r="G47" s="4">
        <f t="shared" si="2"/>
        <v>-83.333333333333329</v>
      </c>
      <c r="H47" s="4">
        <f t="shared" si="3"/>
        <v>0</v>
      </c>
      <c r="I47" s="4">
        <f t="shared" si="8"/>
        <v>0</v>
      </c>
      <c r="J47" s="4">
        <f t="shared" si="6"/>
        <v>0</v>
      </c>
      <c r="K47" s="4">
        <f t="shared" si="5"/>
        <v>0</v>
      </c>
      <c r="L47" s="28">
        <v>0</v>
      </c>
      <c r="S47" s="46" t="e">
        <f t="shared" si="7"/>
        <v>#DIV/0!</v>
      </c>
    </row>
    <row r="48" spans="1:19" hidden="1" outlineLevel="1" x14ac:dyDescent="0.35">
      <c r="A48" s="3" t="s">
        <v>156</v>
      </c>
      <c r="B48" s="5">
        <f>25</f>
        <v>25</v>
      </c>
      <c r="C48" s="5">
        <f>70</f>
        <v>70</v>
      </c>
      <c r="D48" s="4"/>
      <c r="E48" s="5">
        <f t="shared" si="9"/>
        <v>95</v>
      </c>
      <c r="F48" s="15">
        <f t="shared" si="1"/>
        <v>0</v>
      </c>
      <c r="G48" s="4">
        <f t="shared" si="2"/>
        <v>31.666666666666668</v>
      </c>
      <c r="H48" s="4">
        <f t="shared" si="3"/>
        <v>160</v>
      </c>
      <c r="I48" s="4">
        <f t="shared" si="8"/>
        <v>0</v>
      </c>
      <c r="J48" s="4">
        <f t="shared" si="6"/>
        <v>0</v>
      </c>
      <c r="K48" s="4">
        <f t="shared" si="5"/>
        <v>0</v>
      </c>
      <c r="L48" s="28">
        <v>0</v>
      </c>
      <c r="S48" s="46" t="e">
        <f t="shared" si="7"/>
        <v>#DIV/0!</v>
      </c>
    </row>
    <row r="49" spans="1:19" hidden="1" outlineLevel="1" x14ac:dyDescent="0.35">
      <c r="A49" s="3" t="s">
        <v>157</v>
      </c>
      <c r="B49" s="5">
        <f>9945</f>
        <v>9945</v>
      </c>
      <c r="C49" s="5">
        <f>6355</f>
        <v>6355</v>
      </c>
      <c r="D49" s="5">
        <f>8060</f>
        <v>8060</v>
      </c>
      <c r="E49" s="5">
        <f t="shared" si="9"/>
        <v>24360</v>
      </c>
      <c r="F49" s="15">
        <f t="shared" si="1"/>
        <v>-0.18954248366013071</v>
      </c>
      <c r="G49" s="5">
        <f t="shared" si="2"/>
        <v>8120</v>
      </c>
      <c r="H49" s="5">
        <f t="shared" si="3"/>
        <v>6235</v>
      </c>
      <c r="I49" s="5">
        <f t="shared" si="8"/>
        <v>6532.2875816993464</v>
      </c>
      <c r="J49" s="5">
        <f t="shared" si="6"/>
        <v>7296.1437908496737</v>
      </c>
      <c r="K49" s="5">
        <f t="shared" si="5"/>
        <v>8060</v>
      </c>
      <c r="L49" s="29">
        <f>J49</f>
        <v>7296.1437908496737</v>
      </c>
      <c r="S49" s="46">
        <f t="shared" si="7"/>
        <v>0</v>
      </c>
    </row>
    <row r="50" spans="1:19" hidden="1" outlineLevel="1" x14ac:dyDescent="0.35">
      <c r="A50" s="3" t="s">
        <v>158</v>
      </c>
      <c r="B50" s="5">
        <f>14457.5</f>
        <v>14457.5</v>
      </c>
      <c r="C50" s="5">
        <f>9039.87</f>
        <v>9039.8700000000008</v>
      </c>
      <c r="D50" s="5">
        <f>4570</f>
        <v>4570</v>
      </c>
      <c r="E50" s="5">
        <f t="shared" si="9"/>
        <v>28067.370000000003</v>
      </c>
      <c r="F50" s="15">
        <f t="shared" si="1"/>
        <v>-0.68390108939996541</v>
      </c>
      <c r="G50" s="5">
        <f t="shared" si="2"/>
        <v>9355.7900000000009</v>
      </c>
      <c r="H50" s="5">
        <f t="shared" si="3"/>
        <v>-531.71000000089407</v>
      </c>
      <c r="I50" s="5">
        <f t="shared" si="8"/>
        <v>1444.5720214421581</v>
      </c>
      <c r="J50" s="5">
        <f t="shared" si="6"/>
        <v>3007.2860107210795</v>
      </c>
      <c r="K50" s="5">
        <f t="shared" si="5"/>
        <v>4570</v>
      </c>
      <c r="L50" s="29">
        <f>J50</f>
        <v>3007.2860107210795</v>
      </c>
      <c r="S50" s="46">
        <f t="shared" si="7"/>
        <v>0</v>
      </c>
    </row>
    <row r="51" spans="1:19" hidden="1" outlineLevel="1" x14ac:dyDescent="0.35">
      <c r="A51" s="3" t="s">
        <v>159</v>
      </c>
      <c r="B51" s="5">
        <f>25</f>
        <v>25</v>
      </c>
      <c r="C51" s="5"/>
      <c r="D51" s="5"/>
      <c r="E51" s="5">
        <f t="shared" si="9"/>
        <v>25</v>
      </c>
      <c r="F51" s="15">
        <f t="shared" si="1"/>
        <v>0</v>
      </c>
      <c r="G51" s="5">
        <f t="shared" si="2"/>
        <v>8.3333333333333339</v>
      </c>
      <c r="H51" s="5">
        <f t="shared" si="3"/>
        <v>0</v>
      </c>
      <c r="I51" s="5">
        <f t="shared" si="8"/>
        <v>0</v>
      </c>
      <c r="J51" s="5">
        <f t="shared" si="6"/>
        <v>0</v>
      </c>
      <c r="K51" s="5">
        <f t="shared" si="5"/>
        <v>0</v>
      </c>
      <c r="L51" s="29">
        <v>0</v>
      </c>
      <c r="S51" s="46" t="e">
        <f t="shared" si="7"/>
        <v>#DIV/0!</v>
      </c>
    </row>
    <row r="52" spans="1:19" hidden="1" outlineLevel="1" x14ac:dyDescent="0.35">
      <c r="A52" s="3" t="s">
        <v>43</v>
      </c>
      <c r="B52" s="4"/>
      <c r="C52" s="4"/>
      <c r="D52" s="5"/>
      <c r="E52" s="5">
        <f t="shared" si="9"/>
        <v>0</v>
      </c>
      <c r="F52" s="15">
        <f t="shared" si="1"/>
        <v>0</v>
      </c>
      <c r="G52" s="5">
        <f t="shared" si="2"/>
        <v>0</v>
      </c>
      <c r="H52" s="5">
        <f t="shared" si="3"/>
        <v>0</v>
      </c>
      <c r="I52" s="5">
        <f t="shared" si="8"/>
        <v>0</v>
      </c>
      <c r="J52" s="5">
        <f t="shared" si="6"/>
        <v>0</v>
      </c>
      <c r="K52" s="5">
        <f t="shared" si="5"/>
        <v>0</v>
      </c>
      <c r="L52" s="29">
        <f t="shared" si="5"/>
        <v>0</v>
      </c>
      <c r="S52" s="46" t="e">
        <f t="shared" si="7"/>
        <v>#DIV/0!</v>
      </c>
    </row>
    <row r="53" spans="1:19" hidden="1" outlineLevel="1" x14ac:dyDescent="0.35">
      <c r="A53" s="3" t="s">
        <v>44</v>
      </c>
      <c r="B53" s="5">
        <f>20000</f>
        <v>20000</v>
      </c>
      <c r="C53" s="5">
        <f>7265</f>
        <v>7265</v>
      </c>
      <c r="D53" s="5">
        <f>800</f>
        <v>800</v>
      </c>
      <c r="E53" s="5">
        <f t="shared" si="9"/>
        <v>28065</v>
      </c>
      <c r="F53" s="15">
        <f t="shared" si="1"/>
        <v>-0.96</v>
      </c>
      <c r="G53" s="5">
        <f t="shared" si="2"/>
        <v>9355</v>
      </c>
      <c r="H53" s="20">
        <v>0</v>
      </c>
      <c r="I53" s="20">
        <v>0</v>
      </c>
      <c r="J53" s="20">
        <v>0</v>
      </c>
      <c r="K53" s="20">
        <v>0</v>
      </c>
      <c r="L53" s="29">
        <v>0</v>
      </c>
      <c r="S53" s="46" t="e">
        <f t="shared" si="7"/>
        <v>#DIV/0!</v>
      </c>
    </row>
    <row r="54" spans="1:19" collapsed="1" x14ac:dyDescent="0.35">
      <c r="A54" s="3" t="s">
        <v>45</v>
      </c>
      <c r="B54" s="6">
        <f>((((((B47)+(B48))+(B49))+(B50))+(B51))+(B52))+(B53)</f>
        <v>44452.5</v>
      </c>
      <c r="C54" s="6">
        <f>((((((C47)+(C48))+(C49))+(C50))+(C51))+(C52))+(C53)</f>
        <v>22479.870000000003</v>
      </c>
      <c r="D54" s="6">
        <f>((((((D47)+(D48))+(D49))+(D50))+(D51))+(D52))+(D53)</f>
        <v>13430</v>
      </c>
      <c r="E54" s="6">
        <f t="shared" si="9"/>
        <v>80362.37</v>
      </c>
      <c r="F54" s="15">
        <f t="shared" si="1"/>
        <v>-0.697879759293628</v>
      </c>
      <c r="G54" s="6">
        <f t="shared" si="2"/>
        <v>26787.456666666665</v>
      </c>
      <c r="H54" s="6">
        <f t="shared" si="3"/>
        <v>-4235.0433333329856</v>
      </c>
      <c r="I54" s="6">
        <f t="shared" si="8"/>
        <v>4057.4748326865761</v>
      </c>
      <c r="J54" s="6">
        <f t="shared" si="6"/>
        <v>8743.7374163432887</v>
      </c>
      <c r="K54" s="6">
        <f t="shared" si="5"/>
        <v>13430</v>
      </c>
      <c r="L54" s="11">
        <f>((((((L47)+(L48))+(L49))+(L50))+(L51))+(L52))+(L53)</f>
        <v>10303.429801570754</v>
      </c>
      <c r="M54">
        <v>825</v>
      </c>
      <c r="S54" s="46">
        <f t="shared" si="7"/>
        <v>8.0070424692390202E-2</v>
      </c>
    </row>
    <row r="55" spans="1:19" hidden="1" outlineLevel="1" x14ac:dyDescent="0.35">
      <c r="A55" s="3" t="s">
        <v>46</v>
      </c>
      <c r="B55" s="4"/>
      <c r="C55" s="5">
        <f>0.06</f>
        <v>0.06</v>
      </c>
      <c r="D55" s="4"/>
      <c r="E55" s="5">
        <f t="shared" si="9"/>
        <v>0.06</v>
      </c>
      <c r="F55" s="15">
        <f t="shared" si="1"/>
        <v>0</v>
      </c>
      <c r="G55" s="4">
        <f t="shared" si="2"/>
        <v>0.02</v>
      </c>
      <c r="H55" s="4">
        <f t="shared" si="3"/>
        <v>0</v>
      </c>
      <c r="I55" s="4">
        <f t="shared" si="8"/>
        <v>0</v>
      </c>
      <c r="J55" s="4">
        <f t="shared" si="6"/>
        <v>0</v>
      </c>
      <c r="K55" s="4">
        <f t="shared" si="5"/>
        <v>0</v>
      </c>
      <c r="L55" s="28">
        <f t="shared" si="5"/>
        <v>0.06</v>
      </c>
      <c r="S55" s="46">
        <f t="shared" si="7"/>
        <v>0</v>
      </c>
    </row>
    <row r="56" spans="1:19" hidden="1" outlineLevel="1" x14ac:dyDescent="0.35">
      <c r="A56" s="3" t="s">
        <v>47</v>
      </c>
      <c r="B56" s="5">
        <f>5029.24</f>
        <v>5029.24</v>
      </c>
      <c r="C56" s="5">
        <f>655.55</f>
        <v>655.55</v>
      </c>
      <c r="D56" s="5">
        <f>4992.01</f>
        <v>4992.01</v>
      </c>
      <c r="E56" s="5">
        <f t="shared" si="9"/>
        <v>10676.8</v>
      </c>
      <c r="F56" s="15">
        <f t="shared" si="1"/>
        <v>-7.4027089580134507E-3</v>
      </c>
      <c r="G56" s="5">
        <f t="shared" si="2"/>
        <v>3558.9333333333329</v>
      </c>
      <c r="H56" s="5">
        <f t="shared" si="3"/>
        <v>3521.7033333333384</v>
      </c>
      <c r="I56" s="5">
        <f t="shared" si="8"/>
        <v>4955.0556028545079</v>
      </c>
      <c r="J56" s="5">
        <f t="shared" si="6"/>
        <v>4973.5328014272536</v>
      </c>
      <c r="K56" s="5">
        <f t="shared" si="5"/>
        <v>4992.01</v>
      </c>
      <c r="L56" s="29">
        <v>1000</v>
      </c>
      <c r="S56" s="46">
        <f t="shared" si="7"/>
        <v>0</v>
      </c>
    </row>
    <row r="57" spans="1:19" collapsed="1" x14ac:dyDescent="0.35">
      <c r="A57" s="3" t="s">
        <v>48</v>
      </c>
      <c r="B57" s="6">
        <f>(B55)+(B56)</f>
        <v>5029.24</v>
      </c>
      <c r="C57" s="6">
        <f>(C55)+(C56)</f>
        <v>655.6099999999999</v>
      </c>
      <c r="D57" s="6">
        <f>(D55)+(D56)</f>
        <v>4992.01</v>
      </c>
      <c r="E57" s="6">
        <f t="shared" si="9"/>
        <v>10676.86</v>
      </c>
      <c r="F57" s="15">
        <f t="shared" si="1"/>
        <v>-7.4027089580134507E-3</v>
      </c>
      <c r="G57" s="6">
        <f t="shared" si="2"/>
        <v>3558.9533333333334</v>
      </c>
      <c r="H57" s="6">
        <f t="shared" si="3"/>
        <v>3521.7233333333352</v>
      </c>
      <c r="I57" s="6">
        <f t="shared" si="8"/>
        <v>4955.0556028545079</v>
      </c>
      <c r="J57" s="6">
        <f t="shared" si="6"/>
        <v>4973.5328014272536</v>
      </c>
      <c r="K57" s="6">
        <f t="shared" si="5"/>
        <v>4992.01</v>
      </c>
      <c r="L57" s="11">
        <f>I57</f>
        <v>4955.0556028545079</v>
      </c>
      <c r="M57" s="47">
        <f ca="1">SUM(M15:M57)</f>
        <v>0</v>
      </c>
      <c r="S57" s="46" t="e">
        <f t="shared" ca="1" si="7"/>
        <v>#VALUE!</v>
      </c>
    </row>
    <row r="58" spans="1:19" x14ac:dyDescent="0.35">
      <c r="A58" s="3" t="s">
        <v>49</v>
      </c>
      <c r="B58" s="4"/>
      <c r="C58" s="5">
        <f>8581.28</f>
        <v>8581.2800000000007</v>
      </c>
      <c r="D58" s="5">
        <f>2618.95</f>
        <v>2618.9499999999998</v>
      </c>
      <c r="E58" s="5">
        <f t="shared" si="9"/>
        <v>11200.23</v>
      </c>
      <c r="F58" s="15">
        <f t="shared" si="1"/>
        <v>0</v>
      </c>
      <c r="G58" s="5">
        <f t="shared" si="2"/>
        <v>3733.41</v>
      </c>
      <c r="H58" s="5">
        <v>1200</v>
      </c>
      <c r="I58" s="5">
        <f t="shared" si="8"/>
        <v>2618.9499999999998</v>
      </c>
      <c r="J58" s="5">
        <f t="shared" si="6"/>
        <v>2618.9499999999998</v>
      </c>
      <c r="K58" s="5">
        <v>0</v>
      </c>
      <c r="L58" s="29">
        <v>0</v>
      </c>
      <c r="S58" s="46" t="e">
        <f t="shared" si="7"/>
        <v>#DIV/0!</v>
      </c>
    </row>
    <row r="59" spans="1:19" x14ac:dyDescent="0.35">
      <c r="A59" s="3" t="s">
        <v>179</v>
      </c>
      <c r="B59" s="5">
        <f>265</f>
        <v>265</v>
      </c>
      <c r="C59" s="5">
        <f>1105</f>
        <v>1105</v>
      </c>
      <c r="D59" s="5">
        <f>-1215</f>
        <v>-1215</v>
      </c>
      <c r="E59" s="5">
        <f t="shared" si="9"/>
        <v>155</v>
      </c>
      <c r="F59" s="15">
        <f t="shared" si="1"/>
        <v>-5.5849056603773581</v>
      </c>
      <c r="G59" s="5">
        <f t="shared" si="2"/>
        <v>51.666666666666664</v>
      </c>
      <c r="H59" s="5">
        <v>0</v>
      </c>
      <c r="I59" s="5">
        <v>0</v>
      </c>
      <c r="J59" s="5">
        <v>0</v>
      </c>
      <c r="K59" s="5">
        <v>0</v>
      </c>
      <c r="L59" s="29">
        <v>0</v>
      </c>
      <c r="S59" s="46" t="e">
        <f t="shared" si="7"/>
        <v>#DIV/0!</v>
      </c>
    </row>
    <row r="60" spans="1:19" hidden="1" x14ac:dyDescent="0.35">
      <c r="A60" s="3" t="s">
        <v>51</v>
      </c>
      <c r="B60" s="6">
        <f>((((((((B9)+(B15))+(B38))+(B43))+(B46))+(B54))+(B57))+(B58))+(B59)</f>
        <v>165661.16999999998</v>
      </c>
      <c r="C60" s="6">
        <f>((((((((C9)+(C15))+(C38))+(C43))+(C46))+(C54))+(C57))+(C58))+(C59)</f>
        <v>151530.75999999998</v>
      </c>
      <c r="D60" s="6">
        <f>((((((((D9)+(D15))+(D38))+(D43))+(D46))+(D54))+(D57))+(D58))+(D59)</f>
        <v>115716.20999999998</v>
      </c>
      <c r="E60" s="6">
        <f t="shared" si="9"/>
        <v>432908.1399999999</v>
      </c>
      <c r="F60" s="15">
        <f t="shared" si="1"/>
        <v>-0.30148863490460687</v>
      </c>
      <c r="G60" s="6">
        <f t="shared" si="2"/>
        <v>144302.71333333329</v>
      </c>
      <c r="H60" s="6">
        <f t="shared" si="3"/>
        <v>94357.753333330154</v>
      </c>
      <c r="I60" s="6">
        <f t="shared" si="8"/>
        <v>80829.087810765166</v>
      </c>
      <c r="J60" s="6">
        <f t="shared" si="6"/>
        <v>98272.648905382564</v>
      </c>
      <c r="K60" s="6">
        <f t="shared" si="5"/>
        <v>115716.20999999998</v>
      </c>
      <c r="L60" s="11">
        <f>((((((((L9)+(L15))+(L38))+(L43))+(L46))+(L54))+(L57))+(L58))+(L59)</f>
        <v>105536.52176636564</v>
      </c>
      <c r="M60" s="30"/>
      <c r="S60" s="46">
        <f t="shared" si="7"/>
        <v>0</v>
      </c>
    </row>
    <row r="61" spans="1:19" x14ac:dyDescent="0.35">
      <c r="A61" s="10" t="s">
        <v>52</v>
      </c>
      <c r="B61" s="11">
        <f>(B60)-(0)</f>
        <v>165661.16999999998</v>
      </c>
      <c r="C61" s="11">
        <f>(C60)-(0)</f>
        <v>151530.75999999998</v>
      </c>
      <c r="D61" s="11">
        <f>(D60)-(0)</f>
        <v>115716.20999999998</v>
      </c>
      <c r="E61" s="11">
        <f t="shared" si="9"/>
        <v>432908.1399999999</v>
      </c>
      <c r="F61" s="16">
        <f t="shared" si="1"/>
        <v>-0.30148863490460687</v>
      </c>
      <c r="G61" s="11">
        <f t="shared" si="2"/>
        <v>144302.71333333329</v>
      </c>
      <c r="H61" s="11">
        <f t="shared" si="3"/>
        <v>94357.753333330154</v>
      </c>
      <c r="I61" s="11">
        <f t="shared" si="8"/>
        <v>80829.087810765166</v>
      </c>
      <c r="J61" s="11">
        <f t="shared" si="6"/>
        <v>98272.648905382564</v>
      </c>
      <c r="K61" s="11">
        <f t="shared" si="5"/>
        <v>115716.20999999998</v>
      </c>
      <c r="L61" s="11">
        <f>(L60)-(0)</f>
        <v>105536.52176636564</v>
      </c>
      <c r="M61">
        <v>4820.3</v>
      </c>
      <c r="S61" s="46">
        <f t="shared" si="7"/>
        <v>4.5674235983170559E-2</v>
      </c>
    </row>
    <row r="62" spans="1:19" x14ac:dyDescent="0.35">
      <c r="A62" s="3" t="s">
        <v>53</v>
      </c>
      <c r="B62" s="4"/>
      <c r="C62" s="4"/>
      <c r="D62" s="4"/>
      <c r="E62" s="4"/>
      <c r="F62" s="15">
        <f t="shared" si="1"/>
        <v>0</v>
      </c>
      <c r="G62" s="4">
        <f t="shared" si="2"/>
        <v>0</v>
      </c>
      <c r="H62" s="4">
        <f t="shared" si="3"/>
        <v>0</v>
      </c>
      <c r="I62" s="4">
        <f t="shared" ref="I62:I125" si="10">D62*MIN((1+F62),1)</f>
        <v>0</v>
      </c>
      <c r="J62" s="4">
        <f t="shared" ref="J62:J125" si="11">D62*MIN((1+F62/2),1)</f>
        <v>0</v>
      </c>
      <c r="K62" s="4">
        <f t="shared" ref="K62:L125" si="12">D62</f>
        <v>0</v>
      </c>
      <c r="L62" s="28">
        <f t="shared" si="12"/>
        <v>0</v>
      </c>
      <c r="S62" s="46" t="e">
        <f t="shared" si="7"/>
        <v>#DIV/0!</v>
      </c>
    </row>
    <row r="63" spans="1:19" hidden="1" outlineLevel="1" x14ac:dyDescent="0.35">
      <c r="A63" s="3" t="s">
        <v>54</v>
      </c>
      <c r="B63" s="5">
        <f>288.24</f>
        <v>288.24</v>
      </c>
      <c r="C63" s="5">
        <f>326.96</f>
        <v>326.95999999999998</v>
      </c>
      <c r="D63" s="4"/>
      <c r="E63" s="5">
        <f t="shared" ref="E63:E126" si="13">((B63)+(C63))+(D63)</f>
        <v>615.20000000000005</v>
      </c>
      <c r="F63" s="15">
        <f t="shared" si="1"/>
        <v>0</v>
      </c>
      <c r="G63" s="4">
        <f t="shared" si="2"/>
        <v>205.06666666666669</v>
      </c>
      <c r="H63" s="4">
        <f t="shared" si="3"/>
        <v>404.40000000000873</v>
      </c>
      <c r="I63" s="4">
        <f t="shared" si="10"/>
        <v>0</v>
      </c>
      <c r="J63" s="4">
        <f t="shared" si="11"/>
        <v>0</v>
      </c>
      <c r="K63" s="4">
        <f t="shared" si="12"/>
        <v>0</v>
      </c>
      <c r="L63" s="28">
        <v>0</v>
      </c>
      <c r="S63" s="46" t="e">
        <f t="shared" si="7"/>
        <v>#DIV/0!</v>
      </c>
    </row>
    <row r="64" spans="1:19" hidden="1" outlineLevel="1" x14ac:dyDescent="0.35">
      <c r="A64" s="3" t="s">
        <v>55</v>
      </c>
      <c r="B64" s="5">
        <f>100</f>
        <v>100</v>
      </c>
      <c r="C64" s="5">
        <f>454.28</f>
        <v>454.28</v>
      </c>
      <c r="D64" s="4"/>
      <c r="E64" s="5">
        <f t="shared" si="13"/>
        <v>554.28</v>
      </c>
      <c r="F64" s="15">
        <f t="shared" si="1"/>
        <v>0</v>
      </c>
      <c r="G64" s="4">
        <f t="shared" si="2"/>
        <v>184.76</v>
      </c>
      <c r="H64" s="4">
        <f t="shared" si="3"/>
        <v>1162.8399999999674</v>
      </c>
      <c r="I64" s="4">
        <f t="shared" si="10"/>
        <v>0</v>
      </c>
      <c r="J64" s="4">
        <f t="shared" si="11"/>
        <v>0</v>
      </c>
      <c r="K64" s="4">
        <f t="shared" si="12"/>
        <v>0</v>
      </c>
      <c r="L64" s="28">
        <f t="shared" si="12"/>
        <v>554.28</v>
      </c>
      <c r="S64" s="46">
        <f t="shared" si="7"/>
        <v>0</v>
      </c>
    </row>
    <row r="65" spans="1:19" hidden="1" outlineLevel="1" x14ac:dyDescent="0.35">
      <c r="A65" s="3" t="s">
        <v>56</v>
      </c>
      <c r="B65" s="5">
        <f>6878.62</f>
        <v>6878.62</v>
      </c>
      <c r="C65" s="5">
        <f>4704.86</f>
        <v>4704.8599999999997</v>
      </c>
      <c r="D65" s="5">
        <f>125</f>
        <v>125</v>
      </c>
      <c r="E65" s="5">
        <f t="shared" si="13"/>
        <v>11708.48</v>
      </c>
      <c r="F65" s="15">
        <f t="shared" si="1"/>
        <v>-0.98182775033364256</v>
      </c>
      <c r="G65" s="5">
        <f t="shared" si="2"/>
        <v>3902.8266666666664</v>
      </c>
      <c r="H65" s="5">
        <v>0</v>
      </c>
      <c r="I65" s="5">
        <f t="shared" si="10"/>
        <v>2.2715312082946806</v>
      </c>
      <c r="J65" s="5">
        <f t="shared" si="11"/>
        <v>63.635765604147338</v>
      </c>
      <c r="K65" s="5">
        <f t="shared" si="12"/>
        <v>125</v>
      </c>
      <c r="L65" s="29">
        <f>J65</f>
        <v>63.635765604147338</v>
      </c>
      <c r="S65" s="46">
        <f t="shared" si="7"/>
        <v>0</v>
      </c>
    </row>
    <row r="66" spans="1:19" hidden="1" outlineLevel="1" x14ac:dyDescent="0.35">
      <c r="A66" s="3" t="s">
        <v>57</v>
      </c>
      <c r="B66" s="5">
        <f>1426.73</f>
        <v>1426.73</v>
      </c>
      <c r="C66" s="5">
        <f>847.35</f>
        <v>847.35</v>
      </c>
      <c r="D66" s="4"/>
      <c r="E66" s="5">
        <f t="shared" si="13"/>
        <v>2274.08</v>
      </c>
      <c r="F66" s="15">
        <f t="shared" si="1"/>
        <v>0</v>
      </c>
      <c r="G66" s="4">
        <f t="shared" si="2"/>
        <v>758.02666666666664</v>
      </c>
      <c r="H66" s="4">
        <v>0</v>
      </c>
      <c r="I66" s="4">
        <f t="shared" si="10"/>
        <v>0</v>
      </c>
      <c r="J66" s="4">
        <f t="shared" si="11"/>
        <v>0</v>
      </c>
      <c r="K66" s="4">
        <f t="shared" si="12"/>
        <v>0</v>
      </c>
      <c r="L66" s="28">
        <v>0</v>
      </c>
      <c r="S66" s="46" t="e">
        <f t="shared" si="7"/>
        <v>#DIV/0!</v>
      </c>
    </row>
    <row r="67" spans="1:19" hidden="1" outlineLevel="1" x14ac:dyDescent="0.35">
      <c r="A67" s="3" t="s">
        <v>58</v>
      </c>
      <c r="B67" s="5">
        <f>2189.58</f>
        <v>2189.58</v>
      </c>
      <c r="C67" s="5">
        <f>2761.55</f>
        <v>2761.55</v>
      </c>
      <c r="D67" s="5">
        <f>1075.65</f>
        <v>1075.6500000000001</v>
      </c>
      <c r="E67" s="5">
        <f t="shared" si="13"/>
        <v>6026.7800000000007</v>
      </c>
      <c r="F67" s="15">
        <f t="shared" si="1"/>
        <v>-0.50874140246074584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29">
        <v>0</v>
      </c>
      <c r="S67" s="46" t="e">
        <f t="shared" si="7"/>
        <v>#DIV/0!</v>
      </c>
    </row>
    <row r="68" spans="1:19" hidden="1" outlineLevel="1" x14ac:dyDescent="0.35">
      <c r="A68" s="3" t="s">
        <v>59</v>
      </c>
      <c r="B68" s="5">
        <f>409.42</f>
        <v>409.42</v>
      </c>
      <c r="C68" s="5">
        <f>142.68</f>
        <v>142.68</v>
      </c>
      <c r="D68" s="5">
        <f>1.24</f>
        <v>1.24</v>
      </c>
      <c r="E68" s="5">
        <f t="shared" si="13"/>
        <v>553.34</v>
      </c>
      <c r="F68" s="15">
        <f t="shared" si="1"/>
        <v>-0.99697132528943377</v>
      </c>
      <c r="G68" s="5">
        <f t="shared" si="2"/>
        <v>184.44666666666669</v>
      </c>
      <c r="H68" s="5">
        <v>0</v>
      </c>
      <c r="I68" s="5">
        <f t="shared" si="10"/>
        <v>3.7555566411021203E-3</v>
      </c>
      <c r="J68" s="5">
        <f t="shared" si="11"/>
        <v>0.62187777832055102</v>
      </c>
      <c r="K68" s="5">
        <f t="shared" si="12"/>
        <v>1.24</v>
      </c>
      <c r="L68" s="29">
        <v>0</v>
      </c>
      <c r="S68" s="46" t="e">
        <f t="shared" si="7"/>
        <v>#DIV/0!</v>
      </c>
    </row>
    <row r="69" spans="1:19" hidden="1" outlineLevel="1" x14ac:dyDescent="0.35">
      <c r="A69" s="3" t="s">
        <v>60</v>
      </c>
      <c r="B69" s="4"/>
      <c r="C69" s="4"/>
      <c r="D69" s="5">
        <f>1022.15</f>
        <v>1022.15</v>
      </c>
      <c r="E69" s="5">
        <f t="shared" si="13"/>
        <v>1022.15</v>
      </c>
      <c r="F69" s="15">
        <v>-0.3</v>
      </c>
      <c r="G69" s="5">
        <f t="shared" si="2"/>
        <v>340.71666666666664</v>
      </c>
      <c r="H69" s="5">
        <f t="shared" si="3"/>
        <v>0</v>
      </c>
      <c r="I69" s="5">
        <f t="shared" si="10"/>
        <v>715.505</v>
      </c>
      <c r="J69" s="5">
        <f t="shared" si="11"/>
        <v>868.82749999999999</v>
      </c>
      <c r="K69" s="5">
        <f t="shared" si="12"/>
        <v>1022.15</v>
      </c>
      <c r="L69" s="29">
        <v>1800</v>
      </c>
      <c r="S69" s="46">
        <f t="shared" si="7"/>
        <v>0</v>
      </c>
    </row>
    <row r="70" spans="1:19" hidden="1" outlineLevel="1" x14ac:dyDescent="0.35">
      <c r="A70" s="3" t="s">
        <v>61</v>
      </c>
      <c r="B70" s="5">
        <f>10668</f>
        <v>10668</v>
      </c>
      <c r="C70" s="5">
        <f>10668</f>
        <v>10668</v>
      </c>
      <c r="D70" s="5">
        <f>10668</f>
        <v>10668</v>
      </c>
      <c r="E70" s="5">
        <f t="shared" si="13"/>
        <v>32004</v>
      </c>
      <c r="F70" s="15">
        <f t="shared" si="1"/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29">
        <v>0</v>
      </c>
      <c r="S70" s="46" t="e">
        <f t="shared" si="7"/>
        <v>#DIV/0!</v>
      </c>
    </row>
    <row r="71" spans="1:19" hidden="1" outlineLevel="1" x14ac:dyDescent="0.35">
      <c r="A71" s="3" t="s">
        <v>62</v>
      </c>
      <c r="B71" s="4"/>
      <c r="C71" s="5">
        <f>624.66</f>
        <v>624.66</v>
      </c>
      <c r="D71" s="4"/>
      <c r="E71" s="5">
        <f t="shared" si="13"/>
        <v>624.66</v>
      </c>
      <c r="F71" s="15">
        <f t="shared" si="1"/>
        <v>0</v>
      </c>
      <c r="G71" s="4">
        <v>0</v>
      </c>
      <c r="H71" s="4">
        <f t="shared" si="3"/>
        <v>0</v>
      </c>
      <c r="I71" s="4">
        <f t="shared" si="10"/>
        <v>0</v>
      </c>
      <c r="J71" s="4">
        <f t="shared" si="11"/>
        <v>0</v>
      </c>
      <c r="K71" s="4">
        <f t="shared" si="12"/>
        <v>0</v>
      </c>
      <c r="L71" s="28">
        <v>0</v>
      </c>
      <c r="S71" s="46" t="e">
        <f t="shared" si="7"/>
        <v>#DIV/0!</v>
      </c>
    </row>
    <row r="72" spans="1:19" collapsed="1" x14ac:dyDescent="0.35">
      <c r="A72" s="3" t="s">
        <v>63</v>
      </c>
      <c r="B72" s="6">
        <f>(((((((B64)+(B65))+(B66))+(B67))+(B68))+(B69))+(B70))+(B71)</f>
        <v>21672.35</v>
      </c>
      <c r="C72" s="6">
        <f>(((((((C64)+(C65))+(C66))+(C67))+(C68))+(C69))+(C70))+(C71)</f>
        <v>20203.38</v>
      </c>
      <c r="D72" s="6">
        <f>(((((((D64)+(D65))+(D66))+(D67))+(D68))+(D69))+(D70))+(D71)</f>
        <v>12892.04</v>
      </c>
      <c r="E72" s="6">
        <f t="shared" si="13"/>
        <v>54767.77</v>
      </c>
      <c r="F72" s="15">
        <f t="shared" si="1"/>
        <v>-0.40513880589783746</v>
      </c>
      <c r="G72" s="6">
        <f t="shared" ref="G72:K72" si="14">(((((((G64)+(G65))+(G66))+(G67))+(G68))+(G69))+(G70))+(G71)</f>
        <v>5370.7766666666657</v>
      </c>
      <c r="H72" s="6">
        <f t="shared" si="14"/>
        <v>1162.8399999999674</v>
      </c>
      <c r="I72" s="6">
        <f t="shared" si="14"/>
        <v>717.78028676493579</v>
      </c>
      <c r="J72" s="6">
        <f t="shared" si="14"/>
        <v>933.08514338246789</v>
      </c>
      <c r="K72" s="6">
        <f t="shared" si="14"/>
        <v>1148.3899999999999</v>
      </c>
      <c r="L72" s="11">
        <f>(((((((L64)+(L65))+(L66))+(L67))+(L68))+(L69))+(L70))+(L71)</f>
        <v>2417.9157656041471</v>
      </c>
      <c r="M72">
        <v>36.24</v>
      </c>
      <c r="S72" s="46">
        <f t="shared" si="7"/>
        <v>1.4988115183965053E-2</v>
      </c>
    </row>
    <row r="73" spans="1:19" hidden="1" outlineLevel="1" x14ac:dyDescent="0.35">
      <c r="A73" s="3" t="s">
        <v>64</v>
      </c>
      <c r="B73" s="5">
        <f>1860</f>
        <v>1860</v>
      </c>
      <c r="C73" s="5">
        <f>9105.97</f>
        <v>9105.9699999999993</v>
      </c>
      <c r="D73" s="5">
        <f>8000</f>
        <v>8000</v>
      </c>
      <c r="E73" s="5">
        <f t="shared" si="13"/>
        <v>18965.97</v>
      </c>
      <c r="F73" s="15">
        <f t="shared" si="1"/>
        <v>3.3010752688172045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29">
        <v>0</v>
      </c>
      <c r="S73" s="46" t="e">
        <f t="shared" si="7"/>
        <v>#DIV/0!</v>
      </c>
    </row>
    <row r="74" spans="1:19" hidden="1" outlineLevel="1" x14ac:dyDescent="0.35">
      <c r="A74" s="3" t="s">
        <v>65</v>
      </c>
      <c r="B74" s="5">
        <f>78</f>
        <v>78</v>
      </c>
      <c r="C74" s="5">
        <f>26</f>
        <v>26</v>
      </c>
      <c r="D74" s="5">
        <f>56+500</f>
        <v>556</v>
      </c>
      <c r="E74" s="5">
        <f t="shared" si="13"/>
        <v>660</v>
      </c>
      <c r="F74" s="15">
        <f t="shared" ref="F74:F137" si="15">IF(D74=0,0,IFERROR((D74-B74)/B74,0))</f>
        <v>6.1282051282051286</v>
      </c>
      <c r="G74" s="5">
        <f t="shared" ref="G74:G137" si="16">E74/3</f>
        <v>220</v>
      </c>
      <c r="H74" s="5">
        <f t="shared" ref="H74:H136" si="17">IFERROR(_xlfn.FORECAST.LINEAR($H$4,B74:D74,$B$4:$D$4),0)</f>
        <v>698</v>
      </c>
      <c r="I74" s="5">
        <f t="shared" si="10"/>
        <v>556</v>
      </c>
      <c r="J74" s="5">
        <f t="shared" si="11"/>
        <v>556</v>
      </c>
      <c r="K74" s="5">
        <f t="shared" si="12"/>
        <v>556</v>
      </c>
      <c r="L74" s="29">
        <v>600</v>
      </c>
      <c r="S74" s="46">
        <f t="shared" si="7"/>
        <v>0</v>
      </c>
    </row>
    <row r="75" spans="1:19" hidden="1" outlineLevel="1" x14ac:dyDescent="0.35">
      <c r="A75" s="3" t="s">
        <v>66</v>
      </c>
      <c r="B75" s="5">
        <f>450</f>
        <v>450</v>
      </c>
      <c r="C75" s="4"/>
      <c r="D75" s="4"/>
      <c r="E75" s="5">
        <f t="shared" si="13"/>
        <v>450</v>
      </c>
      <c r="F75" s="15">
        <f t="shared" si="15"/>
        <v>0</v>
      </c>
      <c r="G75" s="4">
        <v>0</v>
      </c>
      <c r="H75" s="4">
        <f t="shared" si="17"/>
        <v>0</v>
      </c>
      <c r="I75" s="4">
        <f t="shared" si="10"/>
        <v>0</v>
      </c>
      <c r="J75" s="4">
        <f t="shared" si="11"/>
        <v>0</v>
      </c>
      <c r="K75" s="4">
        <f t="shared" si="12"/>
        <v>0</v>
      </c>
      <c r="L75" s="28">
        <v>0</v>
      </c>
      <c r="S75" s="46" t="e">
        <f t="shared" si="7"/>
        <v>#DIV/0!</v>
      </c>
    </row>
    <row r="76" spans="1:19" collapsed="1" x14ac:dyDescent="0.35">
      <c r="A76" s="3" t="s">
        <v>67</v>
      </c>
      <c r="B76" s="6">
        <f>((B73)+(B74))+(B75)</f>
        <v>2388</v>
      </c>
      <c r="C76" s="6">
        <f>((C73)+(C74))+(C75)</f>
        <v>9131.9699999999993</v>
      </c>
      <c r="D76" s="6">
        <f>((D73)+(D74))+(D75)</f>
        <v>8556</v>
      </c>
      <c r="E76" s="6">
        <f t="shared" si="13"/>
        <v>20075.97</v>
      </c>
      <c r="F76" s="15">
        <f t="shared" si="15"/>
        <v>2.5829145728643215</v>
      </c>
      <c r="G76" s="6">
        <f t="shared" ref="G76:K76" si="18">((G73)+(G74))+(G75)</f>
        <v>220</v>
      </c>
      <c r="H76" s="6">
        <f t="shared" si="18"/>
        <v>698</v>
      </c>
      <c r="I76" s="6">
        <f t="shared" si="18"/>
        <v>556</v>
      </c>
      <c r="J76" s="6">
        <f t="shared" si="18"/>
        <v>556</v>
      </c>
      <c r="K76" s="6">
        <f t="shared" si="18"/>
        <v>556</v>
      </c>
      <c r="L76" s="11">
        <f t="shared" ref="L76" si="19">((L73)+(L74))+(L75)</f>
        <v>600</v>
      </c>
      <c r="S76" s="46">
        <f t="shared" si="7"/>
        <v>0</v>
      </c>
    </row>
    <row r="77" spans="1:19" hidden="1" outlineLevel="1" x14ac:dyDescent="0.35">
      <c r="A77" s="3" t="s">
        <v>68</v>
      </c>
      <c r="B77" s="5">
        <f>2993.34</f>
        <v>2993.34</v>
      </c>
      <c r="C77" s="4"/>
      <c r="D77" s="4"/>
      <c r="E77" s="5">
        <f t="shared" si="13"/>
        <v>2993.34</v>
      </c>
      <c r="F77" s="15">
        <f t="shared" si="15"/>
        <v>0</v>
      </c>
      <c r="G77" s="4">
        <f t="shared" si="16"/>
        <v>997.78000000000009</v>
      </c>
      <c r="H77" s="4">
        <f t="shared" si="17"/>
        <v>0</v>
      </c>
      <c r="I77" s="4">
        <f t="shared" si="10"/>
        <v>0</v>
      </c>
      <c r="J77" s="4">
        <f t="shared" si="11"/>
        <v>0</v>
      </c>
      <c r="K77" s="4">
        <f t="shared" si="12"/>
        <v>0</v>
      </c>
      <c r="L77" s="28">
        <v>0</v>
      </c>
      <c r="S77" s="46" t="e">
        <f t="shared" si="7"/>
        <v>#DIV/0!</v>
      </c>
    </row>
    <row r="78" spans="1:19" hidden="1" outlineLevel="1" x14ac:dyDescent="0.35">
      <c r="A78" s="3" t="s">
        <v>69</v>
      </c>
      <c r="B78" s="5">
        <f>1172.55</f>
        <v>1172.55</v>
      </c>
      <c r="C78" s="5">
        <f>1515</f>
        <v>1515</v>
      </c>
      <c r="D78" s="5"/>
      <c r="E78" s="5">
        <f t="shared" si="13"/>
        <v>2687.55</v>
      </c>
      <c r="F78" s="22">
        <v>-0.3</v>
      </c>
      <c r="G78" s="20">
        <f t="shared" si="16"/>
        <v>895.85</v>
      </c>
      <c r="H78" s="20">
        <f t="shared" si="17"/>
        <v>2199.9000000000233</v>
      </c>
      <c r="I78" s="20">
        <f t="shared" si="10"/>
        <v>0</v>
      </c>
      <c r="J78" s="20">
        <f t="shared" si="11"/>
        <v>0</v>
      </c>
      <c r="K78" s="20">
        <f t="shared" si="12"/>
        <v>0</v>
      </c>
      <c r="L78" s="29">
        <f>I78</f>
        <v>0</v>
      </c>
      <c r="S78" s="46" t="e">
        <f t="shared" si="7"/>
        <v>#DIV/0!</v>
      </c>
    </row>
    <row r="79" spans="1:19" hidden="1" outlineLevel="1" x14ac:dyDescent="0.35">
      <c r="A79" s="3" t="s">
        <v>70</v>
      </c>
      <c r="B79" s="4"/>
      <c r="C79" s="4"/>
      <c r="D79" s="5">
        <f>524</f>
        <v>524</v>
      </c>
      <c r="E79" s="5">
        <f t="shared" si="13"/>
        <v>524</v>
      </c>
      <c r="F79" s="15">
        <f t="shared" si="15"/>
        <v>0</v>
      </c>
      <c r="G79" s="5">
        <f t="shared" si="16"/>
        <v>174.66666666666666</v>
      </c>
      <c r="H79" s="5">
        <f t="shared" si="17"/>
        <v>0</v>
      </c>
      <c r="I79" s="5">
        <f t="shared" si="10"/>
        <v>524</v>
      </c>
      <c r="J79" s="5">
        <f t="shared" si="11"/>
        <v>524</v>
      </c>
      <c r="K79" s="5">
        <f t="shared" si="12"/>
        <v>524</v>
      </c>
      <c r="L79" s="29">
        <f t="shared" si="12"/>
        <v>524</v>
      </c>
      <c r="S79" s="46">
        <f t="shared" si="7"/>
        <v>0</v>
      </c>
    </row>
    <row r="80" spans="1:19" hidden="1" outlineLevel="1" x14ac:dyDescent="0.35">
      <c r="A80" s="3" t="s">
        <v>71</v>
      </c>
      <c r="B80" s="4"/>
      <c r="C80" s="4"/>
      <c r="D80" s="9">
        <v>4609.55</v>
      </c>
      <c r="E80" s="5">
        <f t="shared" si="13"/>
        <v>4609.55</v>
      </c>
      <c r="F80" s="22">
        <v>-0.3</v>
      </c>
      <c r="G80" s="9">
        <f t="shared" si="16"/>
        <v>1536.5166666666667</v>
      </c>
      <c r="H80" s="9">
        <f t="shared" si="17"/>
        <v>0</v>
      </c>
      <c r="I80" s="9">
        <f t="shared" si="10"/>
        <v>3226.6849999999999</v>
      </c>
      <c r="J80" s="9">
        <f t="shared" si="11"/>
        <v>3918.1174999999998</v>
      </c>
      <c r="K80" s="9">
        <f t="shared" si="12"/>
        <v>4609.55</v>
      </c>
      <c r="L80" s="29">
        <f t="shared" si="12"/>
        <v>4609.55</v>
      </c>
      <c r="S80" s="46">
        <f t="shared" ref="S80:S143" si="20">SUM(M80/L80)</f>
        <v>0</v>
      </c>
    </row>
    <row r="81" spans="1:19" hidden="1" outlineLevel="1" x14ac:dyDescent="0.35">
      <c r="A81" s="3" t="s">
        <v>72</v>
      </c>
      <c r="B81" s="5">
        <f>810.03</f>
        <v>810.03</v>
      </c>
      <c r="C81" s="4"/>
      <c r="D81" s="4"/>
      <c r="E81" s="5">
        <f t="shared" si="13"/>
        <v>810.03</v>
      </c>
      <c r="F81" s="15">
        <f t="shared" si="15"/>
        <v>0</v>
      </c>
      <c r="G81" s="4">
        <f t="shared" si="16"/>
        <v>270.01</v>
      </c>
      <c r="H81" s="4">
        <f t="shared" si="17"/>
        <v>0</v>
      </c>
      <c r="I81" s="4">
        <f t="shared" si="10"/>
        <v>0</v>
      </c>
      <c r="J81" s="4">
        <f t="shared" si="11"/>
        <v>0</v>
      </c>
      <c r="K81" s="4">
        <f t="shared" si="12"/>
        <v>0</v>
      </c>
      <c r="L81" s="28">
        <v>0</v>
      </c>
      <c r="S81" s="46" t="e">
        <f t="shared" si="20"/>
        <v>#DIV/0!</v>
      </c>
    </row>
    <row r="82" spans="1:19" hidden="1" outlineLevel="1" x14ac:dyDescent="0.35">
      <c r="A82" s="3" t="s">
        <v>73</v>
      </c>
      <c r="B82" s="5">
        <f>99.99</f>
        <v>99.99</v>
      </c>
      <c r="C82" s="4"/>
      <c r="D82" s="4"/>
      <c r="E82" s="5">
        <f t="shared" si="13"/>
        <v>99.99</v>
      </c>
      <c r="F82" s="15">
        <f t="shared" si="15"/>
        <v>0</v>
      </c>
      <c r="G82" s="4">
        <f t="shared" si="16"/>
        <v>33.33</v>
      </c>
      <c r="H82" s="4">
        <f t="shared" si="17"/>
        <v>0</v>
      </c>
      <c r="I82" s="4">
        <f t="shared" si="10"/>
        <v>0</v>
      </c>
      <c r="J82" s="4">
        <f t="shared" si="11"/>
        <v>0</v>
      </c>
      <c r="K82" s="4">
        <f t="shared" si="12"/>
        <v>0</v>
      </c>
      <c r="L82" s="28">
        <v>0</v>
      </c>
      <c r="S82" s="46" t="e">
        <f t="shared" si="20"/>
        <v>#DIV/0!</v>
      </c>
    </row>
    <row r="83" spans="1:19" hidden="1" outlineLevel="1" x14ac:dyDescent="0.35">
      <c r="A83" s="3" t="s">
        <v>74</v>
      </c>
      <c r="B83" s="5">
        <f>1700</f>
        <v>1700</v>
      </c>
      <c r="C83" s="5">
        <f>1125</f>
        <v>1125</v>
      </c>
      <c r="D83" s="5">
        <f>25</f>
        <v>25</v>
      </c>
      <c r="E83" s="5">
        <f t="shared" si="13"/>
        <v>2850</v>
      </c>
      <c r="F83" s="15">
        <f t="shared" si="15"/>
        <v>-0.98529411764705888</v>
      </c>
      <c r="G83" s="5">
        <f t="shared" si="16"/>
        <v>950</v>
      </c>
      <c r="H83" s="5">
        <v>0</v>
      </c>
      <c r="I83" s="5">
        <f t="shared" si="10"/>
        <v>0.36764705882352811</v>
      </c>
      <c r="J83" s="5">
        <f t="shared" si="11"/>
        <v>12.683823529411764</v>
      </c>
      <c r="K83" s="5">
        <f t="shared" si="12"/>
        <v>25</v>
      </c>
      <c r="L83" s="29">
        <f>D83</f>
        <v>25</v>
      </c>
      <c r="S83" s="46">
        <f t="shared" si="20"/>
        <v>0</v>
      </c>
    </row>
    <row r="84" spans="1:19" hidden="1" outlineLevel="1" x14ac:dyDescent="0.35">
      <c r="A84" s="3" t="s">
        <v>75</v>
      </c>
      <c r="B84" s="5">
        <f>4665.07</f>
        <v>4665.07</v>
      </c>
      <c r="C84" s="5">
        <f>6698.95</f>
        <v>6698.95</v>
      </c>
      <c r="D84" s="5">
        <v>3271.34</v>
      </c>
      <c r="E84" s="5">
        <f t="shared" si="13"/>
        <v>14635.36</v>
      </c>
      <c r="F84" s="15">
        <f t="shared" si="15"/>
        <v>-0.29875864670840946</v>
      </c>
      <c r="G84" s="5">
        <f t="shared" si="16"/>
        <v>4878.4533333333338</v>
      </c>
      <c r="H84" s="5">
        <f t="shared" si="17"/>
        <v>3484.7233333333861</v>
      </c>
      <c r="I84" s="5">
        <f t="shared" si="10"/>
        <v>2293.998888676912</v>
      </c>
      <c r="J84" s="5">
        <f t="shared" si="11"/>
        <v>2782.6694443384563</v>
      </c>
      <c r="K84" s="5">
        <f t="shared" si="12"/>
        <v>3271.34</v>
      </c>
      <c r="L84" s="29">
        <f>D84</f>
        <v>3271.34</v>
      </c>
      <c r="S84" s="46">
        <f t="shared" si="20"/>
        <v>0</v>
      </c>
    </row>
    <row r="85" spans="1:19" hidden="1" outlineLevel="1" x14ac:dyDescent="0.35">
      <c r="A85" s="3" t="s">
        <v>76</v>
      </c>
      <c r="B85" s="5">
        <f>5322.46</f>
        <v>5322.46</v>
      </c>
      <c r="C85" s="4"/>
      <c r="D85" s="4"/>
      <c r="E85" s="7">
        <v>0</v>
      </c>
      <c r="F85" s="15">
        <f t="shared" si="15"/>
        <v>0</v>
      </c>
      <c r="G85" s="4">
        <f t="shared" si="16"/>
        <v>0</v>
      </c>
      <c r="H85" s="4">
        <f t="shared" si="17"/>
        <v>0</v>
      </c>
      <c r="I85" s="4">
        <f t="shared" si="10"/>
        <v>0</v>
      </c>
      <c r="J85" s="4">
        <f t="shared" si="11"/>
        <v>0</v>
      </c>
      <c r="K85" s="4">
        <f t="shared" si="12"/>
        <v>0</v>
      </c>
      <c r="L85" s="28">
        <f t="shared" si="12"/>
        <v>0</v>
      </c>
      <c r="S85" s="46" t="e">
        <f t="shared" si="20"/>
        <v>#DIV/0!</v>
      </c>
    </row>
    <row r="86" spans="1:19" hidden="1" outlineLevel="1" x14ac:dyDescent="0.35">
      <c r="A86" s="3" t="s">
        <v>77</v>
      </c>
      <c r="B86" s="6">
        <f>(B84)+(B85)</f>
        <v>9987.5299999999988</v>
      </c>
      <c r="C86" s="6">
        <f>(C84)+(C85)</f>
        <v>6698.95</v>
      </c>
      <c r="D86" s="6">
        <f>(D84)+(D85)</f>
        <v>3271.34</v>
      </c>
      <c r="E86" s="6">
        <f t="shared" si="13"/>
        <v>19957.82</v>
      </c>
      <c r="F86" s="15">
        <f t="shared" si="15"/>
        <v>-0.67245755457054945</v>
      </c>
      <c r="G86" s="6">
        <f t="shared" ref="G86:K86" si="21">(G84)+(G85)</f>
        <v>4878.4533333333338</v>
      </c>
      <c r="H86" s="6">
        <f t="shared" si="21"/>
        <v>3484.7233333333861</v>
      </c>
      <c r="I86" s="6">
        <f t="shared" si="21"/>
        <v>2293.998888676912</v>
      </c>
      <c r="J86" s="6">
        <f t="shared" si="21"/>
        <v>2782.6694443384563</v>
      </c>
      <c r="K86" s="6">
        <f t="shared" si="21"/>
        <v>3271.34</v>
      </c>
      <c r="L86" s="11">
        <f>(L84)+(L85)</f>
        <v>3271.34</v>
      </c>
      <c r="S86" s="46">
        <f t="shared" si="20"/>
        <v>0</v>
      </c>
    </row>
    <row r="87" spans="1:19" hidden="1" outlineLevel="1" x14ac:dyDescent="0.35">
      <c r="A87" s="3" t="s">
        <v>78</v>
      </c>
      <c r="B87" s="4"/>
      <c r="C87" s="4"/>
      <c r="D87" s="4"/>
      <c r="E87" s="5">
        <f t="shared" si="13"/>
        <v>0</v>
      </c>
      <c r="F87" s="15">
        <f t="shared" si="15"/>
        <v>0</v>
      </c>
      <c r="G87" s="4">
        <f t="shared" si="16"/>
        <v>0</v>
      </c>
      <c r="H87" s="4">
        <f t="shared" si="17"/>
        <v>0</v>
      </c>
      <c r="I87" s="4">
        <f t="shared" si="10"/>
        <v>0</v>
      </c>
      <c r="J87" s="4">
        <f t="shared" si="11"/>
        <v>0</v>
      </c>
      <c r="K87" s="4">
        <f t="shared" si="12"/>
        <v>0</v>
      </c>
      <c r="L87" s="28">
        <f t="shared" si="12"/>
        <v>0</v>
      </c>
      <c r="S87" s="46" t="e">
        <f t="shared" si="20"/>
        <v>#DIV/0!</v>
      </c>
    </row>
    <row r="88" spans="1:19" hidden="1" outlineLevel="1" x14ac:dyDescent="0.35">
      <c r="A88" s="3" t="s">
        <v>79</v>
      </c>
      <c r="B88" s="5">
        <f>447.95</f>
        <v>447.95</v>
      </c>
      <c r="C88" s="4"/>
      <c r="D88" s="4"/>
      <c r="E88" s="7">
        <v>0</v>
      </c>
      <c r="F88" s="15">
        <f t="shared" si="15"/>
        <v>0</v>
      </c>
      <c r="G88" s="4">
        <f t="shared" si="16"/>
        <v>0</v>
      </c>
      <c r="H88" s="4">
        <f t="shared" si="17"/>
        <v>0</v>
      </c>
      <c r="I88" s="4">
        <f t="shared" si="10"/>
        <v>0</v>
      </c>
      <c r="J88" s="4">
        <f t="shared" si="11"/>
        <v>0</v>
      </c>
      <c r="K88" s="4">
        <f t="shared" si="12"/>
        <v>0</v>
      </c>
      <c r="L88" s="28">
        <f t="shared" si="12"/>
        <v>0</v>
      </c>
      <c r="S88" s="46" t="e">
        <f t="shared" si="20"/>
        <v>#DIV/0!</v>
      </c>
    </row>
    <row r="89" spans="1:19" hidden="1" outlineLevel="1" x14ac:dyDescent="0.35">
      <c r="A89" s="3" t="s">
        <v>80</v>
      </c>
      <c r="B89" s="5">
        <f>150.03</f>
        <v>150.03</v>
      </c>
      <c r="C89" s="5">
        <f>29.59</f>
        <v>29.59</v>
      </c>
      <c r="D89" s="4"/>
      <c r="E89" s="7">
        <v>0</v>
      </c>
      <c r="F89" s="15">
        <f t="shared" si="15"/>
        <v>0</v>
      </c>
      <c r="G89" s="4">
        <f t="shared" si="16"/>
        <v>0</v>
      </c>
      <c r="H89" s="4">
        <v>0</v>
      </c>
      <c r="I89" s="4">
        <f t="shared" si="10"/>
        <v>0</v>
      </c>
      <c r="J89" s="4">
        <f t="shared" si="11"/>
        <v>0</v>
      </c>
      <c r="K89" s="4">
        <f t="shared" si="12"/>
        <v>0</v>
      </c>
      <c r="L89" s="28">
        <f t="shared" si="12"/>
        <v>0</v>
      </c>
      <c r="S89" s="46" t="e">
        <f t="shared" si="20"/>
        <v>#DIV/0!</v>
      </c>
    </row>
    <row r="90" spans="1:19" hidden="1" outlineLevel="1" x14ac:dyDescent="0.35">
      <c r="A90" s="3" t="s">
        <v>81</v>
      </c>
      <c r="B90" s="6">
        <f>((B87)+(B88))+(B89)</f>
        <v>597.98</v>
      </c>
      <c r="C90" s="6">
        <f>((C87)+(C88))+(C89)</f>
        <v>29.59</v>
      </c>
      <c r="D90" s="6">
        <f>((D87)+(D88))+(D89)</f>
        <v>0</v>
      </c>
      <c r="E90" s="6">
        <f t="shared" si="13"/>
        <v>627.57000000000005</v>
      </c>
      <c r="F90" s="15">
        <f t="shared" si="15"/>
        <v>0</v>
      </c>
      <c r="G90" s="6">
        <f t="shared" ref="G90:K90" si="22">((G87)+(G88))+(G89)</f>
        <v>0</v>
      </c>
      <c r="H90" s="6">
        <f t="shared" si="22"/>
        <v>0</v>
      </c>
      <c r="I90" s="6">
        <f t="shared" si="22"/>
        <v>0</v>
      </c>
      <c r="J90" s="6">
        <f t="shared" si="22"/>
        <v>0</v>
      </c>
      <c r="K90" s="6">
        <f t="shared" si="22"/>
        <v>0</v>
      </c>
      <c r="L90" s="11">
        <f t="shared" ref="L90" si="23">((L87)+(L88))+(L89)</f>
        <v>0</v>
      </c>
      <c r="S90" s="46" t="e">
        <f t="shared" si="20"/>
        <v>#DIV/0!</v>
      </c>
    </row>
    <row r="91" spans="1:19" hidden="1" outlineLevel="1" x14ac:dyDescent="0.35">
      <c r="A91" s="3" t="s">
        <v>82</v>
      </c>
      <c r="B91" s="4"/>
      <c r="C91" s="5">
        <f>90</f>
        <v>90</v>
      </c>
      <c r="D91" s="5">
        <v>19528</v>
      </c>
      <c r="E91" s="5">
        <f t="shared" si="13"/>
        <v>19618</v>
      </c>
      <c r="F91" s="15">
        <f t="shared" si="15"/>
        <v>0</v>
      </c>
      <c r="G91" s="5">
        <v>1000</v>
      </c>
      <c r="H91" s="5">
        <v>1000</v>
      </c>
      <c r="I91" s="5">
        <v>1000</v>
      </c>
      <c r="J91" s="5">
        <v>1000</v>
      </c>
      <c r="K91" s="5">
        <v>1000</v>
      </c>
      <c r="L91" s="29">
        <v>0</v>
      </c>
      <c r="S91" s="46" t="e">
        <f t="shared" si="20"/>
        <v>#DIV/0!</v>
      </c>
    </row>
    <row r="92" spans="1:19" hidden="1" outlineLevel="1" x14ac:dyDescent="0.35">
      <c r="A92" s="3" t="s">
        <v>83</v>
      </c>
      <c r="B92" s="5">
        <f>334.95</f>
        <v>334.95</v>
      </c>
      <c r="C92" s="5">
        <f>1443.06</f>
        <v>1443.06</v>
      </c>
      <c r="D92" s="5">
        <f>807.68</f>
        <v>807.68</v>
      </c>
      <c r="E92" s="5">
        <f t="shared" si="13"/>
        <v>2585.69</v>
      </c>
      <c r="F92" s="15">
        <f t="shared" si="15"/>
        <v>1.4113449768622182</v>
      </c>
      <c r="G92" s="5">
        <f t="shared" si="16"/>
        <v>861.89666666666665</v>
      </c>
      <c r="H92" s="5">
        <f t="shared" si="17"/>
        <v>1334.6266666666488</v>
      </c>
      <c r="I92" s="20">
        <f>D92*MIN((1+F92),1)*0.7</f>
        <v>565.37599999999998</v>
      </c>
      <c r="J92" s="20">
        <f>D92*MIN((1+F92/2),1)*0.85</f>
        <v>686.52799999999991</v>
      </c>
      <c r="K92" s="20">
        <f t="shared" si="12"/>
        <v>807.68</v>
      </c>
      <c r="L92" s="29">
        <f>I92</f>
        <v>565.37599999999998</v>
      </c>
      <c r="S92" s="46">
        <f t="shared" si="20"/>
        <v>0</v>
      </c>
    </row>
    <row r="93" spans="1:19" hidden="1" outlineLevel="1" x14ac:dyDescent="0.35">
      <c r="A93" s="3" t="s">
        <v>84</v>
      </c>
      <c r="B93" s="4"/>
      <c r="C93" s="5">
        <f>21.9</f>
        <v>21.9</v>
      </c>
      <c r="D93" s="5">
        <f>19.28</f>
        <v>19.28</v>
      </c>
      <c r="E93" s="5">
        <f t="shared" si="13"/>
        <v>41.18</v>
      </c>
      <c r="F93" s="15">
        <f t="shared" si="15"/>
        <v>0</v>
      </c>
      <c r="G93" s="5">
        <f t="shared" si="16"/>
        <v>13.726666666666667</v>
      </c>
      <c r="H93" s="5">
        <f t="shared" si="17"/>
        <v>16.660000000000764</v>
      </c>
      <c r="I93" s="5">
        <f t="shared" si="10"/>
        <v>19.28</v>
      </c>
      <c r="J93" s="5">
        <f t="shared" si="11"/>
        <v>19.28</v>
      </c>
      <c r="K93" s="5">
        <f t="shared" si="12"/>
        <v>19.28</v>
      </c>
      <c r="L93" s="29">
        <v>0</v>
      </c>
      <c r="S93" s="46" t="e">
        <f t="shared" si="20"/>
        <v>#DIV/0!</v>
      </c>
    </row>
    <row r="94" spans="1:19" hidden="1" outlineLevel="1" x14ac:dyDescent="0.35">
      <c r="A94" s="3" t="s">
        <v>85</v>
      </c>
      <c r="B94" s="5">
        <f>234.18</f>
        <v>234.18</v>
      </c>
      <c r="C94" s="5">
        <f>403.9</f>
        <v>403.9</v>
      </c>
      <c r="D94" s="5">
        <f>1000</f>
        <v>1000</v>
      </c>
      <c r="E94" s="5">
        <f t="shared" si="13"/>
        <v>1638.08</v>
      </c>
      <c r="F94" s="15">
        <f t="shared" si="15"/>
        <v>3.2702194892817489</v>
      </c>
      <c r="G94" s="5">
        <f t="shared" si="16"/>
        <v>546.02666666666664</v>
      </c>
      <c r="H94" s="5">
        <f t="shared" si="17"/>
        <v>1311.8466666665627</v>
      </c>
      <c r="I94" s="5">
        <f t="shared" si="10"/>
        <v>1000</v>
      </c>
      <c r="J94" s="5">
        <f t="shared" si="11"/>
        <v>1000</v>
      </c>
      <c r="K94" s="5">
        <f t="shared" si="12"/>
        <v>1000</v>
      </c>
      <c r="L94" s="29">
        <v>0</v>
      </c>
      <c r="S94" s="46" t="e">
        <f t="shared" si="20"/>
        <v>#DIV/0!</v>
      </c>
    </row>
    <row r="95" spans="1:19" collapsed="1" x14ac:dyDescent="0.35">
      <c r="A95" s="3" t="s">
        <v>86</v>
      </c>
      <c r="B95" s="6">
        <f>(((((((((((B78)+(B79))+(B80))+(B81))+(B82))+(B83))+(B86))+(B90))+(B91))+(B92))+(B93))+(B94)</f>
        <v>14937.21</v>
      </c>
      <c r="C95" s="6">
        <f>(((((((((((C78)+(C79))+(C80))+(C81))+(C82))+(C83))+(C86))+(C90))+(C91))+(C92))+(C93))+(C94)</f>
        <v>11327.4</v>
      </c>
      <c r="D95" s="6">
        <f>(((((((((((D78)+(D79))+(D80))+(D81))+(D82))+(D83))+(D86))+(D90))+(D91))+(D92))+(D93))+(D94)</f>
        <v>29784.85</v>
      </c>
      <c r="E95" s="6">
        <f t="shared" si="13"/>
        <v>56049.46</v>
      </c>
      <c r="F95" s="15">
        <f t="shared" si="15"/>
        <v>0.99400356559223579</v>
      </c>
      <c r="G95" s="6">
        <f t="shared" ref="G95:K95" si="24">(((((((((((G78)+(G79))+(G80))+(G81))+(G82))+(G83))+(G86))+(G90))+(G91))+(G92))+(G93))+(G94)</f>
        <v>11160.476666666669</v>
      </c>
      <c r="H95" s="6">
        <f t="shared" si="24"/>
        <v>9347.7566666666207</v>
      </c>
      <c r="I95" s="6">
        <f t="shared" si="24"/>
        <v>8629.7075357357353</v>
      </c>
      <c r="J95" s="6">
        <f t="shared" si="24"/>
        <v>9943.2787678678687</v>
      </c>
      <c r="K95" s="6">
        <f t="shared" si="24"/>
        <v>11256.85</v>
      </c>
      <c r="L95" s="11">
        <f>(((((((((((L78)+(L79))+(L80))+(L81))+(L82))+(L83))+(L86))+(L90))+(L91))+(L92))+(L93))+(L94)+L84</f>
        <v>12266.606</v>
      </c>
      <c r="M95">
        <v>385</v>
      </c>
      <c r="S95" s="46">
        <f t="shared" si="20"/>
        <v>3.1386024789579123E-2</v>
      </c>
    </row>
    <row r="96" spans="1:19" hidden="1" outlineLevel="1" x14ac:dyDescent="0.35">
      <c r="A96" s="3" t="s">
        <v>87</v>
      </c>
      <c r="B96" s="5">
        <f>3300</f>
        <v>3300</v>
      </c>
      <c r="C96" s="5">
        <f>2700</f>
        <v>2700</v>
      </c>
      <c r="D96" s="5">
        <f>2400</f>
        <v>2400</v>
      </c>
      <c r="E96" s="5">
        <f t="shared" si="13"/>
        <v>8400</v>
      </c>
      <c r="F96" s="15">
        <f t="shared" si="15"/>
        <v>-0.27272727272727271</v>
      </c>
      <c r="G96" s="5">
        <f t="shared" si="16"/>
        <v>2800</v>
      </c>
      <c r="H96" s="5">
        <f t="shared" si="17"/>
        <v>1900</v>
      </c>
      <c r="I96" s="20">
        <f>D96*MIN((1+F96),1)*0.7</f>
        <v>1221.8181818181818</v>
      </c>
      <c r="J96" s="20">
        <f>D96*MIN((1+F96/2),1)*0.85</f>
        <v>1761.818181818182</v>
      </c>
      <c r="K96" s="20">
        <f t="shared" ref="K96" si="25">D96</f>
        <v>2400</v>
      </c>
      <c r="L96" s="29"/>
      <c r="S96" s="46" t="e">
        <f t="shared" si="20"/>
        <v>#DIV/0!</v>
      </c>
    </row>
    <row r="97" spans="1:19" hidden="1" outlineLevel="1" x14ac:dyDescent="0.35">
      <c r="A97" s="3" t="s">
        <v>88</v>
      </c>
      <c r="B97" s="5">
        <f>3726.18</f>
        <v>3726.18</v>
      </c>
      <c r="C97" s="5">
        <f>6750</f>
        <v>6750</v>
      </c>
      <c r="D97" s="5">
        <f>930.56</f>
        <v>930.56</v>
      </c>
      <c r="E97" s="5">
        <f t="shared" si="13"/>
        <v>11406.74</v>
      </c>
      <c r="F97" s="15">
        <f t="shared" si="15"/>
        <v>-0.75026434579113199</v>
      </c>
      <c r="G97" s="5">
        <f t="shared" si="16"/>
        <v>3802.2466666666664</v>
      </c>
      <c r="H97" s="5">
        <f t="shared" si="17"/>
        <v>1006.6266666664742</v>
      </c>
      <c r="I97" s="5">
        <f t="shared" si="10"/>
        <v>232.39401038060419</v>
      </c>
      <c r="J97" s="5">
        <f t="shared" si="11"/>
        <v>581.47700519030207</v>
      </c>
      <c r="K97" s="5">
        <f t="shared" si="12"/>
        <v>930.56</v>
      </c>
      <c r="L97" s="29">
        <f>K97</f>
        <v>930.56</v>
      </c>
      <c r="S97" s="46">
        <f t="shared" si="20"/>
        <v>0</v>
      </c>
    </row>
    <row r="98" spans="1:19" hidden="1" outlineLevel="1" x14ac:dyDescent="0.35">
      <c r="A98" s="3" t="s">
        <v>89</v>
      </c>
      <c r="B98" s="4"/>
      <c r="C98" s="5">
        <f>1150</f>
        <v>1150</v>
      </c>
      <c r="D98" s="5">
        <f>136.74</f>
        <v>136.74</v>
      </c>
      <c r="E98" s="5">
        <f t="shared" si="13"/>
        <v>1286.74</v>
      </c>
      <c r="F98" s="15">
        <f t="shared" si="15"/>
        <v>0</v>
      </c>
      <c r="G98" s="5">
        <f t="shared" si="16"/>
        <v>428.91333333333336</v>
      </c>
      <c r="H98" s="5">
        <v>0</v>
      </c>
      <c r="I98" s="5">
        <v>0</v>
      </c>
      <c r="J98" s="5">
        <v>0</v>
      </c>
      <c r="K98" s="5">
        <v>0</v>
      </c>
      <c r="L98" s="29">
        <v>0</v>
      </c>
      <c r="S98" s="46" t="e">
        <f t="shared" si="20"/>
        <v>#DIV/0!</v>
      </c>
    </row>
    <row r="99" spans="1:19" hidden="1" outlineLevel="1" x14ac:dyDescent="0.35">
      <c r="A99" s="3" t="s">
        <v>90</v>
      </c>
      <c r="B99" s="5">
        <f>447.49</f>
        <v>447.49</v>
      </c>
      <c r="C99" s="5">
        <f>5924</f>
        <v>5924</v>
      </c>
      <c r="D99" s="23">
        <f>7000</f>
        <v>7000</v>
      </c>
      <c r="E99" s="5">
        <f t="shared" si="13"/>
        <v>13371.49</v>
      </c>
      <c r="F99" s="15">
        <f t="shared" si="15"/>
        <v>14.64280766050638</v>
      </c>
      <c r="G99" s="5">
        <f t="shared" si="16"/>
        <v>4457.163333333333</v>
      </c>
      <c r="H99" s="5">
        <f t="shared" si="17"/>
        <v>11009.673333332874</v>
      </c>
      <c r="I99" s="20">
        <f>D99*MIN((1+F99),1)*0.7</f>
        <v>4900</v>
      </c>
      <c r="J99" s="20">
        <f>D99*MIN((1+F99/2),1)*0.85</f>
        <v>5950</v>
      </c>
      <c r="K99" s="20">
        <f t="shared" si="12"/>
        <v>7000</v>
      </c>
      <c r="L99" s="29">
        <f>1500*12</f>
        <v>18000</v>
      </c>
      <c r="S99" s="46">
        <f t="shared" si="20"/>
        <v>0</v>
      </c>
    </row>
    <row r="100" spans="1:19" hidden="1" outlineLevel="1" x14ac:dyDescent="0.35">
      <c r="A100" s="3" t="s">
        <v>91</v>
      </c>
      <c r="B100" s="5">
        <f>239.95</f>
        <v>239.95</v>
      </c>
      <c r="C100" s="5">
        <f>456</f>
        <v>456</v>
      </c>
      <c r="D100" s="5">
        <f>1103.95</f>
        <v>1103.95</v>
      </c>
      <c r="E100" s="5">
        <f t="shared" si="13"/>
        <v>1799.9</v>
      </c>
      <c r="F100" s="15">
        <f t="shared" si="15"/>
        <v>3.600750156282559</v>
      </c>
      <c r="G100" s="5">
        <f t="shared" si="16"/>
        <v>599.9666666666667</v>
      </c>
      <c r="H100" s="5">
        <f t="shared" si="17"/>
        <v>1463.9666666666744</v>
      </c>
      <c r="I100" s="5">
        <f t="shared" si="10"/>
        <v>1103.95</v>
      </c>
      <c r="J100" s="5">
        <f t="shared" si="11"/>
        <v>1103.95</v>
      </c>
      <c r="K100" s="5">
        <f t="shared" si="12"/>
        <v>1103.95</v>
      </c>
      <c r="L100" s="29">
        <v>0</v>
      </c>
      <c r="S100" s="46" t="e">
        <f t="shared" si="20"/>
        <v>#DIV/0!</v>
      </c>
    </row>
    <row r="101" spans="1:19" collapsed="1" x14ac:dyDescent="0.35">
      <c r="A101" s="3" t="s">
        <v>92</v>
      </c>
      <c r="B101" s="6">
        <f>((((B96)+(B97))+(B98))+(B99))+(B100)</f>
        <v>7713.62</v>
      </c>
      <c r="C101" s="6">
        <f>((((C96)+(C97))+(C98))+(C99))+(C100)</f>
        <v>16980</v>
      </c>
      <c r="D101" s="6">
        <f>((((D96)+(D97))+(D98))+(D99))+(D100)</f>
        <v>11571.25</v>
      </c>
      <c r="E101" s="6">
        <f t="shared" si="13"/>
        <v>36264.869999999995</v>
      </c>
      <c r="F101" s="15">
        <f t="shared" si="15"/>
        <v>0.50010630547006463</v>
      </c>
      <c r="G101" s="6">
        <f t="shared" ref="G101:K101" si="26">((((G96)+(G97))+(G98))+(G99))+(G100)</f>
        <v>12088.289999999999</v>
      </c>
      <c r="H101" s="6">
        <f t="shared" si="26"/>
        <v>15380.266666666023</v>
      </c>
      <c r="I101" s="6">
        <f t="shared" si="26"/>
        <v>7458.1621921987853</v>
      </c>
      <c r="J101" s="6">
        <f t="shared" si="26"/>
        <v>9397.2451870084842</v>
      </c>
      <c r="K101" s="6">
        <f t="shared" si="26"/>
        <v>11434.51</v>
      </c>
      <c r="L101" s="11">
        <f t="shared" ref="L101" si="27">((((L96)+(L97))+(L98))+(L99))+(L100)</f>
        <v>18930.560000000001</v>
      </c>
      <c r="M101">
        <v>1000</v>
      </c>
      <c r="S101" s="46">
        <f t="shared" si="20"/>
        <v>5.2824639102065654E-2</v>
      </c>
    </row>
    <row r="102" spans="1:19" hidden="1" outlineLevel="1" x14ac:dyDescent="0.35">
      <c r="A102" s="3" t="s">
        <v>93</v>
      </c>
      <c r="B102" s="5">
        <f>667.54</f>
        <v>667.54</v>
      </c>
      <c r="C102" s="5">
        <f>1726.34</f>
        <v>1726.34</v>
      </c>
      <c r="D102" s="5">
        <f>-141.47</f>
        <v>-141.47</v>
      </c>
      <c r="E102" s="5">
        <f t="shared" si="13"/>
        <v>2252.4100000000003</v>
      </c>
      <c r="F102" s="15">
        <f t="shared" si="15"/>
        <v>-1.2119273751385686</v>
      </c>
      <c r="G102" s="5">
        <f t="shared" si="16"/>
        <v>750.8033333333334</v>
      </c>
      <c r="H102" s="5">
        <v>0</v>
      </c>
      <c r="I102" s="5">
        <v>0</v>
      </c>
      <c r="J102" s="5">
        <v>0</v>
      </c>
      <c r="K102" s="5">
        <v>0</v>
      </c>
      <c r="L102" s="29">
        <v>0</v>
      </c>
      <c r="S102" s="46" t="e">
        <f t="shared" si="20"/>
        <v>#DIV/0!</v>
      </c>
    </row>
    <row r="103" spans="1:19" hidden="1" outlineLevel="1" x14ac:dyDescent="0.35">
      <c r="A103" s="3" t="s">
        <v>94</v>
      </c>
      <c r="B103" s="5">
        <f>4491.96</f>
        <v>4491.96</v>
      </c>
      <c r="C103" s="5">
        <f>494.9</f>
        <v>494.9</v>
      </c>
      <c r="D103" s="4"/>
      <c r="E103" s="5">
        <f t="shared" si="13"/>
        <v>4986.8599999999997</v>
      </c>
      <c r="F103" s="15">
        <f t="shared" si="15"/>
        <v>0</v>
      </c>
      <c r="G103" s="4">
        <f t="shared" si="16"/>
        <v>1662.2866666666666</v>
      </c>
      <c r="H103" s="4">
        <v>0</v>
      </c>
      <c r="I103" s="4">
        <f t="shared" si="10"/>
        <v>0</v>
      </c>
      <c r="J103" s="4">
        <f t="shared" si="11"/>
        <v>0</v>
      </c>
      <c r="K103" s="4">
        <f t="shared" si="12"/>
        <v>0</v>
      </c>
      <c r="L103" s="28"/>
      <c r="S103" s="46" t="e">
        <f t="shared" si="20"/>
        <v>#DIV/0!</v>
      </c>
    </row>
    <row r="104" spans="1:19" collapsed="1" x14ac:dyDescent="0.35">
      <c r="A104" s="3" t="s">
        <v>95</v>
      </c>
      <c r="B104" s="6">
        <f>(B102)+(B103)</f>
        <v>5159.5</v>
      </c>
      <c r="C104" s="6">
        <f>(C102)+(C103)</f>
        <v>2221.2399999999998</v>
      </c>
      <c r="D104" s="6">
        <f>(D102)+(D103)</f>
        <v>-141.47</v>
      </c>
      <c r="E104" s="6">
        <f t="shared" si="13"/>
        <v>7239.2699999999995</v>
      </c>
      <c r="F104" s="15">
        <f t="shared" si="15"/>
        <v>-1.0274193235778661</v>
      </c>
      <c r="G104" s="6">
        <f t="shared" ref="G104:K104" si="28">(G102)+(G103)</f>
        <v>2413.09</v>
      </c>
      <c r="H104" s="6">
        <f t="shared" si="28"/>
        <v>0</v>
      </c>
      <c r="I104" s="6">
        <f t="shared" si="28"/>
        <v>0</v>
      </c>
      <c r="J104" s="6">
        <f t="shared" si="28"/>
        <v>0</v>
      </c>
      <c r="K104" s="6">
        <f t="shared" si="28"/>
        <v>0</v>
      </c>
      <c r="L104" s="11">
        <f t="shared" ref="L104" si="29">(L102)+(L103)</f>
        <v>0</v>
      </c>
      <c r="S104" s="46" t="e">
        <f t="shared" si="20"/>
        <v>#DIV/0!</v>
      </c>
    </row>
    <row r="105" spans="1:19" hidden="1" outlineLevel="1" x14ac:dyDescent="0.35">
      <c r="A105" s="3" t="s">
        <v>96</v>
      </c>
      <c r="B105" s="4"/>
      <c r="C105" s="4"/>
      <c r="D105" s="4"/>
      <c r="E105" s="5">
        <f t="shared" si="13"/>
        <v>0</v>
      </c>
      <c r="F105" s="15">
        <f t="shared" si="15"/>
        <v>0</v>
      </c>
      <c r="G105" s="4">
        <f t="shared" si="16"/>
        <v>0</v>
      </c>
      <c r="H105" s="4">
        <f t="shared" si="17"/>
        <v>0</v>
      </c>
      <c r="I105" s="4">
        <f t="shared" si="10"/>
        <v>0</v>
      </c>
      <c r="J105" s="4">
        <f t="shared" si="11"/>
        <v>0</v>
      </c>
      <c r="K105" s="4">
        <f t="shared" si="12"/>
        <v>0</v>
      </c>
      <c r="L105" s="28">
        <f t="shared" si="12"/>
        <v>0</v>
      </c>
      <c r="S105" s="46" t="e">
        <f t="shared" si="20"/>
        <v>#DIV/0!</v>
      </c>
    </row>
    <row r="106" spans="1:19" hidden="1" outlineLevel="1" x14ac:dyDescent="0.35">
      <c r="A106" s="3" t="s">
        <v>97</v>
      </c>
      <c r="B106" s="5">
        <f>500</f>
        <v>500</v>
      </c>
      <c r="C106" s="5">
        <f>291.89</f>
        <v>291.89</v>
      </c>
      <c r="D106" s="4"/>
      <c r="E106" s="5">
        <f t="shared" si="13"/>
        <v>791.89</v>
      </c>
      <c r="F106" s="15">
        <f t="shared" si="15"/>
        <v>0</v>
      </c>
      <c r="G106" s="4">
        <f t="shared" si="16"/>
        <v>263.96333333333331</v>
      </c>
      <c r="H106" s="4">
        <v>0</v>
      </c>
      <c r="I106" s="4">
        <f t="shared" si="10"/>
        <v>0</v>
      </c>
      <c r="J106" s="4">
        <f t="shared" si="11"/>
        <v>0</v>
      </c>
      <c r="K106" s="4">
        <f t="shared" si="12"/>
        <v>0</v>
      </c>
      <c r="L106" s="28">
        <v>0</v>
      </c>
      <c r="S106" s="46" t="e">
        <f t="shared" si="20"/>
        <v>#DIV/0!</v>
      </c>
    </row>
    <row r="107" spans="1:19" hidden="1" outlineLevel="1" x14ac:dyDescent="0.35">
      <c r="A107" s="3" t="s">
        <v>98</v>
      </c>
      <c r="B107" s="5">
        <f>1878.48</f>
        <v>1878.48</v>
      </c>
      <c r="C107" s="5">
        <f>2523.59</f>
        <v>2523.59</v>
      </c>
      <c r="D107" s="5">
        <f>2553.3</f>
        <v>2553.3000000000002</v>
      </c>
      <c r="E107" s="5">
        <f t="shared" si="13"/>
        <v>6955.37</v>
      </c>
      <c r="F107" s="15">
        <f t="shared" si="15"/>
        <v>0.35923725565350717</v>
      </c>
      <c r="G107" s="5">
        <f t="shared" si="16"/>
        <v>2318.4566666666665</v>
      </c>
      <c r="H107" s="5">
        <f t="shared" si="17"/>
        <v>2993.2766666666139</v>
      </c>
      <c r="I107" s="5">
        <f t="shared" si="10"/>
        <v>2553.3000000000002</v>
      </c>
      <c r="J107" s="5">
        <f t="shared" si="11"/>
        <v>2553.3000000000002</v>
      </c>
      <c r="K107" s="5">
        <f t="shared" si="12"/>
        <v>2553.3000000000002</v>
      </c>
      <c r="L107" s="29">
        <f>J107</f>
        <v>2553.3000000000002</v>
      </c>
      <c r="S107" s="46">
        <f t="shared" si="20"/>
        <v>0</v>
      </c>
    </row>
    <row r="108" spans="1:19" hidden="1" outlineLevel="1" x14ac:dyDescent="0.35">
      <c r="A108" s="3" t="s">
        <v>99</v>
      </c>
      <c r="B108" s="5">
        <f>5882</f>
        <v>5882</v>
      </c>
      <c r="C108" s="5">
        <f>7382</f>
        <v>7382</v>
      </c>
      <c r="D108" s="5">
        <f>7382</f>
        <v>7382</v>
      </c>
      <c r="E108" s="5">
        <f t="shared" si="13"/>
        <v>20646</v>
      </c>
      <c r="F108" s="15">
        <f t="shared" si="15"/>
        <v>0.25501530091805508</v>
      </c>
      <c r="G108" s="5"/>
      <c r="H108" s="5"/>
      <c r="I108" s="5"/>
      <c r="J108" s="5"/>
      <c r="K108" s="5"/>
      <c r="L108" s="29"/>
      <c r="M108" t="s">
        <v>170</v>
      </c>
      <c r="S108" s="46" t="e">
        <f t="shared" si="20"/>
        <v>#VALUE!</v>
      </c>
    </row>
    <row r="109" spans="1:19" hidden="1" outlineLevel="1" x14ac:dyDescent="0.35">
      <c r="A109" s="3" t="s">
        <v>100</v>
      </c>
      <c r="B109" s="5">
        <f>3806.87</f>
        <v>3806.87</v>
      </c>
      <c r="C109" s="5">
        <f>3912.42</f>
        <v>3912.42</v>
      </c>
      <c r="D109" s="5">
        <f>5570.13</f>
        <v>5570.13</v>
      </c>
      <c r="E109" s="5">
        <f t="shared" si="13"/>
        <v>13289.42</v>
      </c>
      <c r="F109" s="15">
        <f t="shared" si="15"/>
        <v>0.46317841166102341</v>
      </c>
      <c r="G109" s="5">
        <f t="shared" si="16"/>
        <v>4429.8066666666664</v>
      </c>
      <c r="H109" s="5">
        <f>D109</f>
        <v>5570.13</v>
      </c>
      <c r="I109" s="20">
        <f>D109*MIN((1+F109),1)*0.7</f>
        <v>3899.0909999999999</v>
      </c>
      <c r="J109" s="20">
        <f>D109*MIN((1+F109/2),1)*0.85</f>
        <v>4734.6104999999998</v>
      </c>
      <c r="K109" s="20">
        <f t="shared" ref="K109" si="30">D109</f>
        <v>5570.13</v>
      </c>
      <c r="L109" s="29">
        <f>I109</f>
        <v>3899.0909999999999</v>
      </c>
      <c r="S109" s="46">
        <f t="shared" si="20"/>
        <v>0</v>
      </c>
    </row>
    <row r="110" spans="1:19" hidden="1" outlineLevel="1" x14ac:dyDescent="0.35">
      <c r="A110" s="3" t="s">
        <v>101</v>
      </c>
      <c r="B110" s="5">
        <f>4062.12</f>
        <v>4062.12</v>
      </c>
      <c r="C110" s="5">
        <f>4779.91</f>
        <v>4779.91</v>
      </c>
      <c r="D110" s="5">
        <f>1142</f>
        <v>1142</v>
      </c>
      <c r="E110" s="5">
        <f t="shared" si="13"/>
        <v>9984.0299999999988</v>
      </c>
      <c r="F110" s="15">
        <f t="shared" si="15"/>
        <v>-0.71886601085147661</v>
      </c>
      <c r="G110" s="5">
        <f t="shared" si="16"/>
        <v>3328.0099999999998</v>
      </c>
      <c r="H110" s="5">
        <f t="shared" si="17"/>
        <v>407.88999999966472</v>
      </c>
      <c r="I110" s="5">
        <f t="shared" si="10"/>
        <v>321.05501560761371</v>
      </c>
      <c r="J110" s="5">
        <f t="shared" si="11"/>
        <v>731.52750780380688</v>
      </c>
      <c r="K110" s="5">
        <f t="shared" si="12"/>
        <v>1142</v>
      </c>
      <c r="L110" s="29">
        <f>J110</f>
        <v>731.52750780380688</v>
      </c>
      <c r="S110" s="46">
        <f t="shared" si="20"/>
        <v>0</v>
      </c>
    </row>
    <row r="111" spans="1:19" hidden="1" outlineLevel="1" x14ac:dyDescent="0.35">
      <c r="A111" s="3" t="s">
        <v>102</v>
      </c>
      <c r="B111" s="5">
        <f>270</f>
        <v>270</v>
      </c>
      <c r="C111" s="4"/>
      <c r="D111" s="4"/>
      <c r="E111" s="5">
        <f t="shared" si="13"/>
        <v>270</v>
      </c>
      <c r="F111" s="15">
        <f t="shared" si="15"/>
        <v>0</v>
      </c>
      <c r="G111" s="4">
        <f t="shared" si="16"/>
        <v>90</v>
      </c>
      <c r="H111" s="4">
        <f t="shared" si="17"/>
        <v>0</v>
      </c>
      <c r="I111" s="4">
        <f t="shared" si="10"/>
        <v>0</v>
      </c>
      <c r="J111" s="4">
        <f t="shared" si="11"/>
        <v>0</v>
      </c>
      <c r="K111" s="4">
        <f t="shared" si="12"/>
        <v>0</v>
      </c>
      <c r="L111" s="28">
        <v>0</v>
      </c>
      <c r="S111" s="46" t="e">
        <f t="shared" si="20"/>
        <v>#DIV/0!</v>
      </c>
    </row>
    <row r="112" spans="1:19" hidden="1" outlineLevel="1" x14ac:dyDescent="0.35">
      <c r="A112" s="3" t="s">
        <v>103</v>
      </c>
      <c r="B112" s="5">
        <f>10608.5</f>
        <v>10608.5</v>
      </c>
      <c r="C112" s="5">
        <f>6515.15</f>
        <v>6515.15</v>
      </c>
      <c r="D112" s="5">
        <f>5900.13</f>
        <v>5900.13</v>
      </c>
      <c r="E112" s="5">
        <f t="shared" si="13"/>
        <v>23023.780000000002</v>
      </c>
      <c r="F112" s="15">
        <f t="shared" si="15"/>
        <v>-0.44382994768346135</v>
      </c>
      <c r="G112" s="5">
        <f t="shared" si="16"/>
        <v>7674.5933333333342</v>
      </c>
      <c r="H112" s="5">
        <f t="shared" si="17"/>
        <v>2966.2233333336189</v>
      </c>
      <c r="I112" s="20">
        <f>D112*MIN((1+F112),1)*0.7</f>
        <v>2297.0329275420654</v>
      </c>
      <c r="J112" s="20">
        <f>D112*MIN((1+F112/2),1)*0.85</f>
        <v>3902.1823845791109</v>
      </c>
      <c r="K112" s="20">
        <f t="shared" si="12"/>
        <v>5900.13</v>
      </c>
      <c r="L112" s="29">
        <f>I112</f>
        <v>2297.0329275420654</v>
      </c>
      <c r="S112" s="46">
        <f t="shared" si="20"/>
        <v>0</v>
      </c>
    </row>
    <row r="113" spans="1:19" ht="22" hidden="1" outlineLevel="1" x14ac:dyDescent="0.35">
      <c r="A113" s="3" t="s">
        <v>104</v>
      </c>
      <c r="B113" s="5">
        <f>176.8</f>
        <v>176.8</v>
      </c>
      <c r="C113" s="4"/>
      <c r="D113" s="4"/>
      <c r="E113" s="5">
        <f t="shared" si="13"/>
        <v>176.8</v>
      </c>
      <c r="F113" s="15">
        <f t="shared" si="15"/>
        <v>0</v>
      </c>
      <c r="G113" s="4">
        <f t="shared" si="16"/>
        <v>58.933333333333337</v>
      </c>
      <c r="H113" s="4">
        <f t="shared" si="17"/>
        <v>0</v>
      </c>
      <c r="I113" s="4">
        <f t="shared" si="10"/>
        <v>0</v>
      </c>
      <c r="J113" s="4">
        <f t="shared" si="11"/>
        <v>0</v>
      </c>
      <c r="K113" s="4">
        <f t="shared" si="12"/>
        <v>0</v>
      </c>
      <c r="L113" s="28">
        <v>0</v>
      </c>
      <c r="S113" s="46" t="e">
        <f t="shared" si="20"/>
        <v>#DIV/0!</v>
      </c>
    </row>
    <row r="114" spans="1:19" hidden="1" outlineLevel="1" x14ac:dyDescent="0.35">
      <c r="A114" s="3" t="s">
        <v>105</v>
      </c>
      <c r="B114" s="5">
        <f>156.67</f>
        <v>156.66999999999999</v>
      </c>
      <c r="C114" s="5">
        <f>334.04</f>
        <v>334.04</v>
      </c>
      <c r="D114" s="5">
        <f>175.02</f>
        <v>175.02</v>
      </c>
      <c r="E114" s="5">
        <f t="shared" si="13"/>
        <v>665.73</v>
      </c>
      <c r="F114" s="15">
        <f t="shared" si="15"/>
        <v>0.11712516754962676</v>
      </c>
      <c r="G114" s="5">
        <f t="shared" si="16"/>
        <v>221.91</v>
      </c>
      <c r="H114" s="5">
        <f t="shared" si="17"/>
        <v>240.26000000000204</v>
      </c>
      <c r="I114" s="5">
        <f t="shared" si="10"/>
        <v>175.02</v>
      </c>
      <c r="J114" s="5">
        <f t="shared" si="11"/>
        <v>175.02</v>
      </c>
      <c r="K114" s="5">
        <f t="shared" si="12"/>
        <v>175.02</v>
      </c>
      <c r="L114" s="29">
        <f>K114</f>
        <v>175.02</v>
      </c>
      <c r="S114" s="46">
        <f t="shared" si="20"/>
        <v>0</v>
      </c>
    </row>
    <row r="115" spans="1:19" collapsed="1" x14ac:dyDescent="0.35">
      <c r="A115" s="3" t="s">
        <v>106</v>
      </c>
      <c r="B115" s="6">
        <f>(((((((((B105)+(B106))+(B107))+(B108))+(B109))+(B110))+(B111))+(B112))+(B113))+(B114)</f>
        <v>27341.439999999995</v>
      </c>
      <c r="C115" s="6">
        <f>(((((((((C105)+(C106))+(C107))+(C108))+(C109))+(C110))+(C111))+(C112))+(C113))+(C114)</f>
        <v>25739</v>
      </c>
      <c r="D115" s="6">
        <f>(((((((((D105)+(D106))+(D107))+(D108))+(D109))+(D110))+(D111))+(D112))+(D113))+(D114)</f>
        <v>22722.58</v>
      </c>
      <c r="E115" s="6">
        <f t="shared" si="13"/>
        <v>75803.01999999999</v>
      </c>
      <c r="F115" s="15">
        <f t="shared" si="15"/>
        <v>-0.1689325799957864</v>
      </c>
      <c r="G115" s="6">
        <f t="shared" ref="G115:K115" si="31">(((((((((G105)+(G106))+(G107))+(G108))+(G109))+(G110))+(G111))+(G112))+(G113))+(G114)</f>
        <v>18385.673333333336</v>
      </c>
      <c r="H115" s="6">
        <f t="shared" si="31"/>
        <v>12177.779999999901</v>
      </c>
      <c r="I115" s="6">
        <f t="shared" si="31"/>
        <v>9245.4989431496797</v>
      </c>
      <c r="J115" s="6">
        <f t="shared" si="31"/>
        <v>12096.640392382918</v>
      </c>
      <c r="K115" s="6">
        <f t="shared" si="31"/>
        <v>15340.580000000002</v>
      </c>
      <c r="L115" s="11">
        <f t="shared" ref="L115" si="32">(((((((((L105)+(L106))+(L107))+(L108))+(L109))+(L110))+(L111))+(L112))+(L113))+(L114)</f>
        <v>9655.971435345873</v>
      </c>
      <c r="M115">
        <v>102.22</v>
      </c>
      <c r="S115" s="46">
        <f t="shared" si="20"/>
        <v>1.0586195359466545E-2</v>
      </c>
    </row>
    <row r="116" spans="1:19" hidden="1" outlineLevel="1" x14ac:dyDescent="0.35">
      <c r="A116" s="3" t="s">
        <v>107</v>
      </c>
      <c r="B116" s="4"/>
      <c r="C116" s="4"/>
      <c r="D116" s="4"/>
      <c r="E116" s="5">
        <f t="shared" si="13"/>
        <v>0</v>
      </c>
      <c r="F116" s="15">
        <f t="shared" si="15"/>
        <v>0</v>
      </c>
      <c r="G116" s="4">
        <f t="shared" si="16"/>
        <v>0</v>
      </c>
      <c r="H116" s="4">
        <f t="shared" si="17"/>
        <v>0</v>
      </c>
      <c r="I116" s="4">
        <f t="shared" si="10"/>
        <v>0</v>
      </c>
      <c r="J116" s="4">
        <f t="shared" si="11"/>
        <v>0</v>
      </c>
      <c r="K116" s="4">
        <f t="shared" si="12"/>
        <v>0</v>
      </c>
      <c r="L116" s="28">
        <f t="shared" si="12"/>
        <v>0</v>
      </c>
      <c r="S116" s="46" t="e">
        <f t="shared" si="20"/>
        <v>#DIV/0!</v>
      </c>
    </row>
    <row r="117" spans="1:19" hidden="1" outlineLevel="1" x14ac:dyDescent="0.35">
      <c r="A117" s="3" t="s">
        <v>108</v>
      </c>
      <c r="B117" s="5">
        <f>67.48</f>
        <v>67.48</v>
      </c>
      <c r="C117" s="4"/>
      <c r="D117" s="5">
        <f>420</f>
        <v>420</v>
      </c>
      <c r="E117" s="5">
        <f t="shared" si="13"/>
        <v>487.48</v>
      </c>
      <c r="F117" s="15">
        <f t="shared" si="15"/>
        <v>5.224066390041493</v>
      </c>
      <c r="G117" s="5">
        <f t="shared" si="16"/>
        <v>162.49333333333334</v>
      </c>
      <c r="H117" s="5">
        <f t="shared" si="17"/>
        <v>596.26000000000931</v>
      </c>
      <c r="I117" s="5">
        <f t="shared" si="10"/>
        <v>420</v>
      </c>
      <c r="J117" s="5">
        <f t="shared" si="11"/>
        <v>420</v>
      </c>
      <c r="K117" s="5">
        <f t="shared" si="12"/>
        <v>420</v>
      </c>
      <c r="L117" s="29">
        <f>J117</f>
        <v>420</v>
      </c>
      <c r="S117" s="46">
        <f t="shared" si="20"/>
        <v>0</v>
      </c>
    </row>
    <row r="118" spans="1:19" hidden="1" outlineLevel="1" x14ac:dyDescent="0.35">
      <c r="A118" s="3" t="s">
        <v>109</v>
      </c>
      <c r="B118" s="4"/>
      <c r="C118" s="5">
        <f>35</f>
        <v>35</v>
      </c>
      <c r="D118" s="4"/>
      <c r="E118" s="5">
        <f t="shared" si="13"/>
        <v>35</v>
      </c>
      <c r="F118" s="15">
        <f t="shared" si="15"/>
        <v>0</v>
      </c>
      <c r="G118" s="4">
        <f t="shared" si="16"/>
        <v>11.666666666666666</v>
      </c>
      <c r="H118" s="4">
        <f t="shared" si="17"/>
        <v>0</v>
      </c>
      <c r="I118" s="4">
        <f t="shared" si="10"/>
        <v>0</v>
      </c>
      <c r="J118" s="4">
        <f t="shared" si="11"/>
        <v>0</v>
      </c>
      <c r="K118" s="4">
        <f t="shared" si="12"/>
        <v>0</v>
      </c>
      <c r="L118" s="28">
        <v>0</v>
      </c>
      <c r="S118" s="46" t="e">
        <f t="shared" si="20"/>
        <v>#DIV/0!</v>
      </c>
    </row>
    <row r="119" spans="1:19" collapsed="1" x14ac:dyDescent="0.35">
      <c r="A119" s="3" t="s">
        <v>110</v>
      </c>
      <c r="B119" s="6">
        <f>((B116)+(B117))+(B118)</f>
        <v>67.48</v>
      </c>
      <c r="C119" s="6">
        <f>((C116)+(C117))+(C118)</f>
        <v>35</v>
      </c>
      <c r="D119" s="6">
        <f>((D116)+(D117))+(D118)</f>
        <v>420</v>
      </c>
      <c r="E119" s="6">
        <f t="shared" si="13"/>
        <v>522.48</v>
      </c>
      <c r="F119" s="15">
        <f t="shared" si="15"/>
        <v>5.224066390041493</v>
      </c>
      <c r="G119" s="6">
        <f t="shared" ref="G119:K119" si="33">((G116)+(G117))+(G118)</f>
        <v>174.16</v>
      </c>
      <c r="H119" s="6">
        <f t="shared" si="33"/>
        <v>596.26000000000931</v>
      </c>
      <c r="I119" s="6">
        <f t="shared" si="33"/>
        <v>420</v>
      </c>
      <c r="J119" s="6">
        <f t="shared" si="33"/>
        <v>420</v>
      </c>
      <c r="K119" s="6">
        <f t="shared" si="33"/>
        <v>420</v>
      </c>
      <c r="L119" s="11">
        <f t="shared" ref="L119" si="34">((L116)+(L117))+(L118)</f>
        <v>420</v>
      </c>
      <c r="M119">
        <v>544</v>
      </c>
      <c r="S119" s="46">
        <f t="shared" si="20"/>
        <v>1.2952380952380953</v>
      </c>
    </row>
    <row r="120" spans="1:19" hidden="1" outlineLevel="1" x14ac:dyDescent="0.35">
      <c r="A120" s="3" t="s">
        <v>111</v>
      </c>
      <c r="B120" s="5">
        <f>2926.52</f>
        <v>2926.52</v>
      </c>
      <c r="C120" s="5">
        <f>1702.13</f>
        <v>1702.13</v>
      </c>
      <c r="D120" s="23">
        <f>9977.56</f>
        <v>9977.56</v>
      </c>
      <c r="E120" s="5">
        <f t="shared" si="13"/>
        <v>14606.21</v>
      </c>
      <c r="F120" s="15">
        <f t="shared" si="15"/>
        <v>2.4093599223651294</v>
      </c>
      <c r="G120" s="5">
        <f t="shared" si="16"/>
        <v>4868.7366666666667</v>
      </c>
      <c r="H120" s="5">
        <f t="shared" si="17"/>
        <v>11919.776666666381</v>
      </c>
      <c r="I120" s="5">
        <f>I127*$H$1</f>
        <v>4751.9995096939765</v>
      </c>
      <c r="J120" s="5">
        <f>J127*$H$1</f>
        <v>7364.779754846988</v>
      </c>
      <c r="K120" s="5">
        <f>K127*$H$1</f>
        <v>9977.56</v>
      </c>
      <c r="L120" s="29">
        <f>D120</f>
        <v>9977.56</v>
      </c>
      <c r="S120" s="46">
        <f t="shared" si="20"/>
        <v>0</v>
      </c>
    </row>
    <row r="121" spans="1:19" hidden="1" outlineLevel="1" x14ac:dyDescent="0.35">
      <c r="A121" s="3" t="s">
        <v>112</v>
      </c>
      <c r="B121" s="5">
        <f>943.24</f>
        <v>943.24</v>
      </c>
      <c r="C121" s="5">
        <f>841.7</f>
        <v>841.7</v>
      </c>
      <c r="D121" s="4"/>
      <c r="E121" s="5">
        <f t="shared" si="13"/>
        <v>1784.94</v>
      </c>
      <c r="F121" s="15">
        <f t="shared" si="15"/>
        <v>0</v>
      </c>
      <c r="G121" s="4">
        <f t="shared" si="16"/>
        <v>594.98</v>
      </c>
      <c r="H121" s="4">
        <f t="shared" si="17"/>
        <v>638.61999999999534</v>
      </c>
      <c r="I121" s="4">
        <f t="shared" si="10"/>
        <v>0</v>
      </c>
      <c r="J121" s="4">
        <f t="shared" si="11"/>
        <v>0</v>
      </c>
      <c r="K121" s="4">
        <f t="shared" si="12"/>
        <v>0</v>
      </c>
      <c r="L121" s="29"/>
      <c r="S121" s="46" t="e">
        <f t="shared" si="20"/>
        <v>#DIV/0!</v>
      </c>
    </row>
    <row r="122" spans="1:19" hidden="1" outlineLevel="1" x14ac:dyDescent="0.35">
      <c r="A122" s="3" t="s">
        <v>113</v>
      </c>
      <c r="B122" s="5">
        <f>4045.5</f>
        <v>4045.5</v>
      </c>
      <c r="C122" s="5">
        <f>3598.94</f>
        <v>3598.94</v>
      </c>
      <c r="D122" s="4"/>
      <c r="E122" s="5">
        <f t="shared" si="13"/>
        <v>7644.4400000000005</v>
      </c>
      <c r="F122" s="15">
        <f t="shared" si="15"/>
        <v>0</v>
      </c>
      <c r="G122" s="4">
        <f t="shared" si="16"/>
        <v>2548.146666666667</v>
      </c>
      <c r="H122" s="4">
        <f t="shared" si="17"/>
        <v>2705.8199999999488</v>
      </c>
      <c r="I122" s="4">
        <f t="shared" si="10"/>
        <v>0</v>
      </c>
      <c r="J122" s="4">
        <f t="shared" si="11"/>
        <v>0</v>
      </c>
      <c r="K122" s="4">
        <f t="shared" si="12"/>
        <v>0</v>
      </c>
      <c r="L122" s="29"/>
      <c r="S122" s="46" t="e">
        <f t="shared" si="20"/>
        <v>#DIV/0!</v>
      </c>
    </row>
    <row r="123" spans="1:19" hidden="1" outlineLevel="1" x14ac:dyDescent="0.35">
      <c r="A123" s="3" t="s">
        <v>114</v>
      </c>
      <c r="B123" s="5">
        <f>960.64</f>
        <v>960.64</v>
      </c>
      <c r="C123" s="5">
        <f>874.95</f>
        <v>874.95</v>
      </c>
      <c r="D123" s="4"/>
      <c r="E123" s="5">
        <f t="shared" si="13"/>
        <v>1835.5900000000001</v>
      </c>
      <c r="F123" s="15">
        <f t="shared" si="15"/>
        <v>0</v>
      </c>
      <c r="G123" s="4">
        <f t="shared" si="16"/>
        <v>611.86333333333334</v>
      </c>
      <c r="H123" s="4">
        <f t="shared" si="17"/>
        <v>703.57000000000698</v>
      </c>
      <c r="I123" s="4">
        <f t="shared" si="10"/>
        <v>0</v>
      </c>
      <c r="J123" s="4">
        <f t="shared" si="11"/>
        <v>0</v>
      </c>
      <c r="K123" s="4">
        <f t="shared" si="12"/>
        <v>0</v>
      </c>
      <c r="L123" s="29"/>
      <c r="S123" s="46" t="e">
        <f t="shared" si="20"/>
        <v>#DIV/0!</v>
      </c>
    </row>
    <row r="124" spans="1:19" hidden="1" outlineLevel="1" x14ac:dyDescent="0.35">
      <c r="A124" s="3" t="s">
        <v>115</v>
      </c>
      <c r="B124" s="5">
        <f>4095.1</f>
        <v>4095.1</v>
      </c>
      <c r="C124" s="5">
        <f>3565.69</f>
        <v>3565.69</v>
      </c>
      <c r="D124" s="4"/>
      <c r="E124" s="5">
        <f t="shared" si="13"/>
        <v>7660.79</v>
      </c>
      <c r="F124" s="15">
        <f t="shared" si="15"/>
        <v>0</v>
      </c>
      <c r="G124" s="4">
        <f t="shared" si="16"/>
        <v>2553.5966666666668</v>
      </c>
      <c r="H124" s="4">
        <f t="shared" si="17"/>
        <v>2506.8700000001118</v>
      </c>
      <c r="I124" s="4">
        <f t="shared" si="10"/>
        <v>0</v>
      </c>
      <c r="J124" s="4">
        <f t="shared" si="11"/>
        <v>0</v>
      </c>
      <c r="K124" s="4">
        <f t="shared" si="12"/>
        <v>0</v>
      </c>
      <c r="L124" s="29"/>
      <c r="S124" s="46" t="e">
        <f t="shared" si="20"/>
        <v>#DIV/0!</v>
      </c>
    </row>
    <row r="125" spans="1:19" hidden="1" outlineLevel="1" x14ac:dyDescent="0.35">
      <c r="A125" s="3" t="s">
        <v>116</v>
      </c>
      <c r="B125" s="5">
        <f>217.62</f>
        <v>217.62</v>
      </c>
      <c r="C125" s="5">
        <f>215.18</f>
        <v>215.18</v>
      </c>
      <c r="D125" s="4"/>
      <c r="E125" s="5">
        <f t="shared" si="13"/>
        <v>432.8</v>
      </c>
      <c r="F125" s="15">
        <f t="shared" si="15"/>
        <v>0</v>
      </c>
      <c r="G125" s="4">
        <f t="shared" si="16"/>
        <v>144.26666666666668</v>
      </c>
      <c r="H125" s="4">
        <f t="shared" si="17"/>
        <v>210.30000000000018</v>
      </c>
      <c r="I125" s="4">
        <f t="shared" si="10"/>
        <v>0</v>
      </c>
      <c r="J125" s="4">
        <f t="shared" si="11"/>
        <v>0</v>
      </c>
      <c r="K125" s="4">
        <f t="shared" si="12"/>
        <v>0</v>
      </c>
      <c r="L125" s="29"/>
      <c r="S125" s="46" t="e">
        <f t="shared" si="20"/>
        <v>#DIV/0!</v>
      </c>
    </row>
    <row r="126" spans="1:19" hidden="1" outlineLevel="1" x14ac:dyDescent="0.35">
      <c r="A126" s="3" t="s">
        <v>117</v>
      </c>
      <c r="B126" s="5">
        <f>1634.7</f>
        <v>1634.7</v>
      </c>
      <c r="C126" s="5">
        <f>1502.86</f>
        <v>1502.86</v>
      </c>
      <c r="D126" s="4"/>
      <c r="E126" s="5">
        <f t="shared" si="13"/>
        <v>3137.56</v>
      </c>
      <c r="F126" s="15">
        <f t="shared" si="15"/>
        <v>0</v>
      </c>
      <c r="G126" s="4">
        <f t="shared" si="16"/>
        <v>1045.8533333333332</v>
      </c>
      <c r="H126" s="4">
        <f t="shared" si="17"/>
        <v>1239.179999999993</v>
      </c>
      <c r="I126" s="4">
        <f t="shared" ref="I126:I156" si="35">D126*MIN((1+F126),1)</f>
        <v>0</v>
      </c>
      <c r="J126" s="4">
        <f t="shared" ref="J126:J156" si="36">D126*MIN((1+F126/2),1)</f>
        <v>0</v>
      </c>
      <c r="K126" s="4">
        <f t="shared" ref="K126:L156" si="37">D126</f>
        <v>0</v>
      </c>
      <c r="L126" s="29"/>
      <c r="S126" s="46" t="e">
        <f t="shared" si="20"/>
        <v>#DIV/0!</v>
      </c>
    </row>
    <row r="127" spans="1:19" hidden="1" outlineLevel="1" x14ac:dyDescent="0.35">
      <c r="A127" s="3" t="s">
        <v>118</v>
      </c>
      <c r="B127" s="5">
        <f>57729.66</f>
        <v>57729.66</v>
      </c>
      <c r="C127" s="5">
        <f>57120.41</f>
        <v>57120.41</v>
      </c>
      <c r="D127" s="5">
        <f>27494.83</f>
        <v>27494.83</v>
      </c>
      <c r="E127" s="5">
        <f t="shared" ref="E127:E158" si="38">((B127)+(C127))+(D127)</f>
        <v>142344.90000000002</v>
      </c>
      <c r="F127" s="15">
        <f t="shared" si="15"/>
        <v>-0.52373130207245289</v>
      </c>
      <c r="G127" s="5">
        <f t="shared" si="16"/>
        <v>47448.30000000001</v>
      </c>
      <c r="H127" s="5">
        <f t="shared" si="17"/>
        <v>17213.469999998808</v>
      </c>
      <c r="I127" s="5">
        <f t="shared" si="35"/>
        <v>13094.926883839262</v>
      </c>
      <c r="J127" s="5">
        <f t="shared" si="36"/>
        <v>20294.878441919631</v>
      </c>
      <c r="K127" s="5">
        <f t="shared" si="37"/>
        <v>27494.83</v>
      </c>
      <c r="L127" s="29">
        <f>D127</f>
        <v>27494.83</v>
      </c>
      <c r="M127" t="s">
        <v>177</v>
      </c>
      <c r="S127" s="46" t="e">
        <f t="shared" si="20"/>
        <v>#VALUE!</v>
      </c>
    </row>
    <row r="128" spans="1:19" hidden="1" collapsed="1" x14ac:dyDescent="0.35">
      <c r="A128" s="3" t="s">
        <v>119</v>
      </c>
      <c r="B128" s="4"/>
      <c r="C128" s="4"/>
      <c r="D128" s="5"/>
      <c r="E128" s="5">
        <f t="shared" si="38"/>
        <v>0</v>
      </c>
      <c r="F128" s="15">
        <f t="shared" si="15"/>
        <v>0</v>
      </c>
      <c r="G128" s="5">
        <f t="shared" si="16"/>
        <v>0</v>
      </c>
      <c r="H128" s="5">
        <f t="shared" si="17"/>
        <v>0</v>
      </c>
      <c r="I128" s="5">
        <f t="shared" si="35"/>
        <v>0</v>
      </c>
      <c r="J128" s="5">
        <f t="shared" si="36"/>
        <v>0</v>
      </c>
      <c r="K128" s="5">
        <f t="shared" si="37"/>
        <v>0</v>
      </c>
      <c r="L128" s="29">
        <f t="shared" si="37"/>
        <v>0</v>
      </c>
      <c r="S128" s="46" t="e">
        <f t="shared" si="20"/>
        <v>#DIV/0!</v>
      </c>
    </row>
    <row r="129" spans="1:19" x14ac:dyDescent="0.35">
      <c r="A129" s="3" t="s">
        <v>120</v>
      </c>
      <c r="B129" s="6">
        <f>((((((((B120)+(B121))+(B122))+(B123))+(B124))+(B125))+(B126))+(B127))+(B128)</f>
        <v>72552.98000000001</v>
      </c>
      <c r="C129" s="6">
        <f>((((((((C120)+(C121))+(C122))+(C123))+(C124))+(C125))+(C126))+(C127))+(C128)</f>
        <v>69421.86</v>
      </c>
      <c r="D129" s="6">
        <f>((((((((D120)+(D121))+(D122))+(D123))+(D124))+(D125))+(D126))+(D127))+(D128)</f>
        <v>37472.39</v>
      </c>
      <c r="E129" s="6">
        <f t="shared" si="38"/>
        <v>179447.23000000004</v>
      </c>
      <c r="F129" s="15">
        <f t="shared" si="15"/>
        <v>-0.48351687277352368</v>
      </c>
      <c r="G129" s="6">
        <f t="shared" ref="G129:K129" si="39">((((((((G120)+(G121))+(G122))+(G123))+(G124))+(G125))+(G126))+(G127))+(G128)</f>
        <v>59815.743333333347</v>
      </c>
      <c r="H129" s="6">
        <f t="shared" si="39"/>
        <v>37137.606666665248</v>
      </c>
      <c r="I129" s="6">
        <f t="shared" si="39"/>
        <v>17846.926393533238</v>
      </c>
      <c r="J129" s="6">
        <f t="shared" si="39"/>
        <v>27659.658196766621</v>
      </c>
      <c r="K129" s="6">
        <f t="shared" si="39"/>
        <v>37472.39</v>
      </c>
      <c r="L129" s="11">
        <f t="shared" ref="L129" si="40">((((((((L120)+(L121))+(L122))+(L123))+(L124))+(L125))+(L126))+(L127))+(L128)</f>
        <v>37472.39</v>
      </c>
      <c r="M129">
        <v>3583.61</v>
      </c>
      <c r="S129" s="46">
        <f t="shared" si="20"/>
        <v>9.5633344977462079E-2</v>
      </c>
    </row>
    <row r="130" spans="1:19" hidden="1" outlineLevel="1" x14ac:dyDescent="0.35">
      <c r="A130" s="3" t="s">
        <v>121</v>
      </c>
      <c r="B130" s="5">
        <f>2300</f>
        <v>2300</v>
      </c>
      <c r="C130" s="4"/>
      <c r="D130" s="4"/>
      <c r="E130" s="5">
        <v>0</v>
      </c>
      <c r="F130" s="15">
        <f t="shared" si="15"/>
        <v>0</v>
      </c>
      <c r="G130" s="4">
        <f t="shared" si="16"/>
        <v>0</v>
      </c>
      <c r="H130" s="4">
        <f t="shared" si="17"/>
        <v>0</v>
      </c>
      <c r="I130" s="4">
        <f t="shared" si="35"/>
        <v>0</v>
      </c>
      <c r="J130" s="4">
        <f t="shared" si="36"/>
        <v>0</v>
      </c>
      <c r="K130" s="4">
        <f t="shared" si="37"/>
        <v>0</v>
      </c>
      <c r="L130" s="28">
        <f t="shared" si="37"/>
        <v>0</v>
      </c>
      <c r="S130" s="46" t="e">
        <f t="shared" si="20"/>
        <v>#DIV/0!</v>
      </c>
    </row>
    <row r="131" spans="1:19" hidden="1" outlineLevel="1" x14ac:dyDescent="0.35">
      <c r="A131" s="3" t="s">
        <v>122</v>
      </c>
      <c r="B131" s="5">
        <f>2656</f>
        <v>2656</v>
      </c>
      <c r="C131" s="5">
        <f>2294.4</f>
        <v>2294.4</v>
      </c>
      <c r="D131" s="5">
        <f>-88</f>
        <v>-88</v>
      </c>
      <c r="E131" s="7">
        <v>0</v>
      </c>
      <c r="F131" s="15">
        <f t="shared" si="15"/>
        <v>-1.0331325301204819</v>
      </c>
      <c r="G131" s="5">
        <f t="shared" si="16"/>
        <v>0</v>
      </c>
      <c r="H131" s="5">
        <v>0</v>
      </c>
      <c r="I131" s="5">
        <v>0</v>
      </c>
      <c r="J131" s="5">
        <v>0</v>
      </c>
      <c r="K131" s="5">
        <v>0</v>
      </c>
      <c r="L131" s="29">
        <v>0</v>
      </c>
      <c r="S131" s="46" t="e">
        <f t="shared" si="20"/>
        <v>#DIV/0!</v>
      </c>
    </row>
    <row r="132" spans="1:19" ht="22" collapsed="1" x14ac:dyDescent="0.35">
      <c r="A132" s="3" t="s">
        <v>123</v>
      </c>
      <c r="B132" s="6">
        <f>(B130)+(B131)</f>
        <v>4956</v>
      </c>
      <c r="C132" s="6">
        <f>(C130)+(C131)</f>
        <v>2294.4</v>
      </c>
      <c r="D132" s="6">
        <f>(D130)+(D131)</f>
        <v>-88</v>
      </c>
      <c r="E132" s="6">
        <f t="shared" si="38"/>
        <v>7162.4</v>
      </c>
      <c r="F132" s="15">
        <f t="shared" si="15"/>
        <v>-1.0177562550443906</v>
      </c>
      <c r="G132" s="6">
        <f t="shared" ref="G132:K132" si="41">(G130)+(G131)</f>
        <v>0</v>
      </c>
      <c r="H132" s="6">
        <f t="shared" si="41"/>
        <v>0</v>
      </c>
      <c r="I132" s="6">
        <f t="shared" si="41"/>
        <v>0</v>
      </c>
      <c r="J132" s="6">
        <f t="shared" si="41"/>
        <v>0</v>
      </c>
      <c r="K132" s="6">
        <f t="shared" si="41"/>
        <v>0</v>
      </c>
      <c r="L132" s="11">
        <f t="shared" ref="L132" si="42">(L130)+(L131)</f>
        <v>0</v>
      </c>
      <c r="S132" s="46" t="e">
        <f t="shared" si="20"/>
        <v>#DIV/0!</v>
      </c>
    </row>
    <row r="133" spans="1:19" hidden="1" outlineLevel="1" x14ac:dyDescent="0.35">
      <c r="A133" s="3" t="s">
        <v>124</v>
      </c>
      <c r="B133" s="4"/>
      <c r="C133" s="5">
        <f>970.5</f>
        <v>970.5</v>
      </c>
      <c r="D133" s="5">
        <f>500</f>
        <v>500</v>
      </c>
      <c r="E133" s="5">
        <f t="shared" si="38"/>
        <v>1470.5</v>
      </c>
      <c r="F133" s="15">
        <f t="shared" si="15"/>
        <v>0</v>
      </c>
      <c r="G133" s="5">
        <f t="shared" si="16"/>
        <v>490.16666666666669</v>
      </c>
      <c r="H133" s="5">
        <f t="shared" si="17"/>
        <v>29.5</v>
      </c>
      <c r="I133" s="5">
        <f t="shared" si="35"/>
        <v>500</v>
      </c>
      <c r="J133" s="5">
        <f t="shared" si="36"/>
        <v>500</v>
      </c>
      <c r="K133" s="5">
        <f t="shared" si="37"/>
        <v>500</v>
      </c>
      <c r="L133" s="29">
        <f>K133</f>
        <v>500</v>
      </c>
      <c r="S133" s="46">
        <f t="shared" si="20"/>
        <v>0</v>
      </c>
    </row>
    <row r="134" spans="1:19" ht="22" hidden="1" outlineLevel="1" x14ac:dyDescent="0.35">
      <c r="A134" s="3" t="s">
        <v>125</v>
      </c>
      <c r="B134" s="5">
        <f>919.54</f>
        <v>919.54</v>
      </c>
      <c r="C134" s="5">
        <f>607.39</f>
        <v>607.39</v>
      </c>
      <c r="D134" s="5">
        <f>915.4</f>
        <v>915.4</v>
      </c>
      <c r="E134" s="5">
        <f t="shared" si="38"/>
        <v>2442.33</v>
      </c>
      <c r="F134" s="15">
        <f t="shared" si="15"/>
        <v>-4.5022511255627664E-3</v>
      </c>
      <c r="G134" s="5">
        <f t="shared" si="16"/>
        <v>814.11</v>
      </c>
      <c r="H134" s="5">
        <f t="shared" si="17"/>
        <v>809.96999999999935</v>
      </c>
      <c r="I134" s="5">
        <f t="shared" si="35"/>
        <v>911.27863931965976</v>
      </c>
      <c r="J134" s="5">
        <f t="shared" si="36"/>
        <v>913.33931965982993</v>
      </c>
      <c r="K134" s="5">
        <f t="shared" si="37"/>
        <v>915.4</v>
      </c>
      <c r="L134" s="29">
        <f>J134</f>
        <v>913.33931965982993</v>
      </c>
      <c r="S134" s="46">
        <f t="shared" si="20"/>
        <v>0</v>
      </c>
    </row>
    <row r="135" spans="1:19" hidden="1" outlineLevel="1" x14ac:dyDescent="0.35">
      <c r="A135" s="3" t="s">
        <v>126</v>
      </c>
      <c r="B135" s="5">
        <f>101.91</f>
        <v>101.91</v>
      </c>
      <c r="C135" s="5">
        <f>4225</f>
        <v>4225</v>
      </c>
      <c r="D135" s="5">
        <f>1136</f>
        <v>1136</v>
      </c>
      <c r="E135" s="7">
        <v>0</v>
      </c>
      <c r="F135" s="15">
        <f t="shared" si="15"/>
        <v>10.147090570110882</v>
      </c>
      <c r="G135" s="5">
        <f t="shared" si="16"/>
        <v>0</v>
      </c>
      <c r="H135" s="5">
        <v>0</v>
      </c>
      <c r="I135" s="5">
        <v>0</v>
      </c>
      <c r="J135" s="5">
        <v>0</v>
      </c>
      <c r="K135" s="5">
        <v>0</v>
      </c>
      <c r="L135" s="29">
        <v>0</v>
      </c>
      <c r="S135" s="46" t="e">
        <f t="shared" si="20"/>
        <v>#DIV/0!</v>
      </c>
    </row>
    <row r="136" spans="1:19" hidden="1" outlineLevel="1" x14ac:dyDescent="0.35">
      <c r="A136" s="3" t="s">
        <v>127</v>
      </c>
      <c r="B136" s="4"/>
      <c r="C136" s="4"/>
      <c r="D136" s="4"/>
      <c r="E136" s="5">
        <f t="shared" si="38"/>
        <v>0</v>
      </c>
      <c r="F136" s="15">
        <f t="shared" si="15"/>
        <v>0</v>
      </c>
      <c r="G136" s="4">
        <f t="shared" si="16"/>
        <v>0</v>
      </c>
      <c r="H136" s="4">
        <f t="shared" si="17"/>
        <v>0</v>
      </c>
      <c r="I136" s="4">
        <f t="shared" si="35"/>
        <v>0</v>
      </c>
      <c r="J136" s="4">
        <f t="shared" si="36"/>
        <v>0</v>
      </c>
      <c r="K136" s="4">
        <f t="shared" si="37"/>
        <v>0</v>
      </c>
      <c r="L136" s="28">
        <f t="shared" si="37"/>
        <v>0</v>
      </c>
      <c r="S136" s="46" t="e">
        <f t="shared" si="20"/>
        <v>#DIV/0!</v>
      </c>
    </row>
    <row r="137" spans="1:19" hidden="1" outlineLevel="1" x14ac:dyDescent="0.35">
      <c r="A137" s="3" t="s">
        <v>174</v>
      </c>
      <c r="B137" s="5">
        <f>17148.1</f>
        <v>17148.099999999999</v>
      </c>
      <c r="C137" s="5">
        <f>4841.76</f>
        <v>4841.76</v>
      </c>
      <c r="D137" s="5">
        <f>5669.37+600</f>
        <v>6269.37</v>
      </c>
      <c r="E137" s="5">
        <f t="shared" si="38"/>
        <v>28259.23</v>
      </c>
      <c r="F137" s="15">
        <f t="shared" si="15"/>
        <v>-0.63439856310611675</v>
      </c>
      <c r="G137" s="5">
        <f t="shared" si="16"/>
        <v>9419.7433333333338</v>
      </c>
      <c r="H137" s="5">
        <f>-IFERROR(_xlfn.FORECAST.LINEAR($H$4,B137:D137,$B$4:$D$4),0)</f>
        <v>1458.9866666663438</v>
      </c>
      <c r="I137" s="5">
        <f t="shared" si="35"/>
        <v>2292.0906804194046</v>
      </c>
      <c r="J137" s="5">
        <f t="shared" si="36"/>
        <v>4280.7303402097023</v>
      </c>
      <c r="K137" s="5">
        <f t="shared" si="37"/>
        <v>6269.37</v>
      </c>
      <c r="L137" s="29">
        <f>3000-600</f>
        <v>2400</v>
      </c>
      <c r="M137" t="s">
        <v>178</v>
      </c>
      <c r="S137" s="46" t="e">
        <f t="shared" si="20"/>
        <v>#VALUE!</v>
      </c>
    </row>
    <row r="138" spans="1:19" ht="22" hidden="1" outlineLevel="1" x14ac:dyDescent="0.35">
      <c r="A138" s="3" t="s">
        <v>173</v>
      </c>
      <c r="B138" s="5">
        <f>4715</f>
        <v>4715</v>
      </c>
      <c r="C138" s="5">
        <f>679.45</f>
        <v>679.45</v>
      </c>
      <c r="D138" s="4"/>
      <c r="E138" s="5">
        <f t="shared" si="38"/>
        <v>5394.45</v>
      </c>
      <c r="F138" s="15">
        <f t="shared" ref="F138:F158" si="43">IF(D138=0,0,IFERROR((D138-B138)/B138,0))</f>
        <v>0</v>
      </c>
      <c r="G138" s="4">
        <f t="shared" ref="G138:G156" si="44">E138/3</f>
        <v>1798.1499999999999</v>
      </c>
      <c r="H138" s="4">
        <v>0</v>
      </c>
      <c r="I138" s="4">
        <f t="shared" si="35"/>
        <v>0</v>
      </c>
      <c r="J138" s="4">
        <f t="shared" si="36"/>
        <v>0</v>
      </c>
      <c r="K138" s="4">
        <f t="shared" si="37"/>
        <v>0</v>
      </c>
      <c r="L138" s="28">
        <f>6300+600</f>
        <v>6900</v>
      </c>
      <c r="M138" t="s">
        <v>180</v>
      </c>
      <c r="S138" s="46" t="e">
        <f t="shared" si="20"/>
        <v>#VALUE!</v>
      </c>
    </row>
    <row r="139" spans="1:19" hidden="1" outlineLevel="1" x14ac:dyDescent="0.35">
      <c r="A139" s="3" t="s">
        <v>130</v>
      </c>
      <c r="B139" s="5">
        <f>26629.29</f>
        <v>26629.29</v>
      </c>
      <c r="C139" s="5">
        <f>11808.59</f>
        <v>11808.59</v>
      </c>
      <c r="D139" s="5">
        <f>6215.59+1500</f>
        <v>7715.59</v>
      </c>
      <c r="E139" s="5">
        <f t="shared" si="38"/>
        <v>46153.47</v>
      </c>
      <c r="F139" s="15">
        <f t="shared" si="43"/>
        <v>-0.71025926714531251</v>
      </c>
      <c r="G139" s="5">
        <f t="shared" si="44"/>
        <v>15384.49</v>
      </c>
      <c r="H139" s="5">
        <f>D139</f>
        <v>7715.59</v>
      </c>
      <c r="I139" s="5">
        <f t="shared" si="35"/>
        <v>2235.5207010062982</v>
      </c>
      <c r="J139" s="5">
        <f t="shared" si="36"/>
        <v>4975.5553505031494</v>
      </c>
      <c r="K139" s="5">
        <f t="shared" si="37"/>
        <v>7715.59</v>
      </c>
      <c r="L139" s="29">
        <f>13140-2700</f>
        <v>10440</v>
      </c>
      <c r="M139" t="s">
        <v>178</v>
      </c>
      <c r="S139" s="46" t="e">
        <f t="shared" si="20"/>
        <v>#VALUE!</v>
      </c>
    </row>
    <row r="140" spans="1:19" hidden="1" outlineLevel="1" x14ac:dyDescent="0.35">
      <c r="A140" s="3" t="s">
        <v>80</v>
      </c>
      <c r="B140" s="5">
        <f>2195.72</f>
        <v>2195.7199999999998</v>
      </c>
      <c r="C140" s="5">
        <f>233.46</f>
        <v>233.46</v>
      </c>
      <c r="D140" s="5">
        <f>949.89</f>
        <v>949.89</v>
      </c>
      <c r="E140" s="5">
        <f t="shared" si="38"/>
        <v>3379.0699999999997</v>
      </c>
      <c r="F140" s="15">
        <f t="shared" si="43"/>
        <v>-0.56739019547118941</v>
      </c>
      <c r="G140" s="5">
        <f t="shared" si="44"/>
        <v>1126.3566666666666</v>
      </c>
      <c r="H140" s="5">
        <f>D140</f>
        <v>949.89</v>
      </c>
      <c r="I140" s="5">
        <f t="shared" si="35"/>
        <v>410.93172722387186</v>
      </c>
      <c r="J140" s="5">
        <f t="shared" si="36"/>
        <v>680.41086361193584</v>
      </c>
      <c r="K140" s="5">
        <f t="shared" si="37"/>
        <v>949.89</v>
      </c>
      <c r="L140" s="29">
        <f>I140</f>
        <v>410.93172722387186</v>
      </c>
      <c r="S140" s="46">
        <f t="shared" si="20"/>
        <v>0</v>
      </c>
    </row>
    <row r="141" spans="1:19" hidden="1" outlineLevel="1" x14ac:dyDescent="0.35">
      <c r="A141" s="3" t="s">
        <v>131</v>
      </c>
      <c r="B141" s="4"/>
      <c r="C141" s="5">
        <f>5184.09</f>
        <v>5184.09</v>
      </c>
      <c r="D141" s="4"/>
      <c r="E141" s="5">
        <f t="shared" si="38"/>
        <v>5184.09</v>
      </c>
      <c r="F141" s="15">
        <f t="shared" si="43"/>
        <v>0</v>
      </c>
      <c r="G141" s="4">
        <f t="shared" si="44"/>
        <v>1728.03</v>
      </c>
      <c r="H141" s="4">
        <f t="shared" ref="H141:H156" si="45">IFERROR(_xlfn.FORECAST.LINEAR($H$4,B141:D141,$B$4:$D$4),0)</f>
        <v>0</v>
      </c>
      <c r="I141" s="4">
        <f t="shared" si="35"/>
        <v>0</v>
      </c>
      <c r="J141" s="4">
        <f t="shared" si="36"/>
        <v>0</v>
      </c>
      <c r="K141" s="4">
        <f t="shared" si="37"/>
        <v>0</v>
      </c>
      <c r="L141" s="28">
        <v>0</v>
      </c>
      <c r="S141" s="46" t="e">
        <f t="shared" si="20"/>
        <v>#DIV/0!</v>
      </c>
    </row>
    <row r="142" spans="1:19" hidden="1" outlineLevel="1" x14ac:dyDescent="0.35">
      <c r="A142" s="3" t="s">
        <v>132</v>
      </c>
      <c r="B142" s="4"/>
      <c r="C142" s="5">
        <f>398.5</f>
        <v>398.5</v>
      </c>
      <c r="D142" s="4"/>
      <c r="E142" s="5">
        <f t="shared" si="38"/>
        <v>398.5</v>
      </c>
      <c r="F142" s="15">
        <f t="shared" si="43"/>
        <v>0</v>
      </c>
      <c r="G142" s="4">
        <f t="shared" si="44"/>
        <v>132.83333333333334</v>
      </c>
      <c r="H142" s="4">
        <f t="shared" si="45"/>
        <v>0</v>
      </c>
      <c r="I142" s="4">
        <f t="shared" si="35"/>
        <v>0</v>
      </c>
      <c r="J142" s="4">
        <f t="shared" si="36"/>
        <v>0</v>
      </c>
      <c r="K142" s="4">
        <f t="shared" si="37"/>
        <v>0</v>
      </c>
      <c r="L142" s="28">
        <v>0</v>
      </c>
      <c r="S142" s="46" t="e">
        <f t="shared" si="20"/>
        <v>#DIV/0!</v>
      </c>
    </row>
    <row r="143" spans="1:19" hidden="1" outlineLevel="1" x14ac:dyDescent="0.35">
      <c r="A143" s="3" t="s">
        <v>133</v>
      </c>
      <c r="B143" s="6">
        <f>(B141)+(B142)</f>
        <v>0</v>
      </c>
      <c r="C143" s="6">
        <f>(C141)+(C142)</f>
        <v>5582.59</v>
      </c>
      <c r="D143" s="6">
        <f>(D141)+(D142)</f>
        <v>0</v>
      </c>
      <c r="E143" s="6">
        <f t="shared" si="38"/>
        <v>5582.59</v>
      </c>
      <c r="F143" s="15">
        <f t="shared" si="43"/>
        <v>0</v>
      </c>
      <c r="G143" s="6">
        <f t="shared" ref="G143:K143" si="46">(G141)+(G142)</f>
        <v>1860.8633333333332</v>
      </c>
      <c r="H143" s="6">
        <f t="shared" si="46"/>
        <v>0</v>
      </c>
      <c r="I143" s="6">
        <f t="shared" si="46"/>
        <v>0</v>
      </c>
      <c r="J143" s="6">
        <f t="shared" si="46"/>
        <v>0</v>
      </c>
      <c r="K143" s="6">
        <f t="shared" si="46"/>
        <v>0</v>
      </c>
      <c r="L143" s="11">
        <f t="shared" ref="L143" si="47">(L141)+(L142)</f>
        <v>0</v>
      </c>
      <c r="S143" s="46" t="e">
        <f t="shared" si="20"/>
        <v>#DIV/0!</v>
      </c>
    </row>
    <row r="144" spans="1:19" hidden="1" outlineLevel="1" x14ac:dyDescent="0.35">
      <c r="A144" s="3" t="s">
        <v>134</v>
      </c>
      <c r="B144" s="4"/>
      <c r="C144" s="5">
        <f>16534.02</f>
        <v>16534.02</v>
      </c>
      <c r="D144" s="5">
        <f>5697.35</f>
        <v>5697.35</v>
      </c>
      <c r="E144" s="7">
        <v>0</v>
      </c>
      <c r="F144" s="15">
        <f t="shared" si="43"/>
        <v>0</v>
      </c>
      <c r="G144" s="5">
        <f t="shared" si="44"/>
        <v>0</v>
      </c>
      <c r="H144" s="5">
        <v>0</v>
      </c>
      <c r="I144" s="5">
        <v>0</v>
      </c>
      <c r="J144" s="5">
        <v>0</v>
      </c>
      <c r="K144" s="5">
        <v>0</v>
      </c>
      <c r="L144" s="29">
        <v>0</v>
      </c>
      <c r="S144" s="46" t="e">
        <f t="shared" ref="S144:S158" si="48">SUM(M144/L144)</f>
        <v>#DIV/0!</v>
      </c>
    </row>
    <row r="145" spans="1:19" hidden="1" outlineLevel="1" x14ac:dyDescent="0.35">
      <c r="A145" s="3" t="s">
        <v>135</v>
      </c>
      <c r="B145" s="5">
        <f>102</f>
        <v>102</v>
      </c>
      <c r="C145" s="5">
        <f>254.5</f>
        <v>254.5</v>
      </c>
      <c r="D145" s="5">
        <f>44</f>
        <v>44</v>
      </c>
      <c r="E145" s="5">
        <f t="shared" si="38"/>
        <v>400.5</v>
      </c>
      <c r="F145" s="15">
        <f t="shared" si="43"/>
        <v>-0.56862745098039214</v>
      </c>
      <c r="G145" s="5">
        <f t="shared" si="44"/>
        <v>133.5</v>
      </c>
      <c r="H145" s="5">
        <f t="shared" si="45"/>
        <v>75.5</v>
      </c>
      <c r="I145" s="5">
        <f t="shared" si="35"/>
        <v>18.980392156862745</v>
      </c>
      <c r="J145" s="5">
        <f t="shared" si="36"/>
        <v>31.490196078431374</v>
      </c>
      <c r="K145" s="5">
        <f t="shared" si="37"/>
        <v>44</v>
      </c>
      <c r="L145" s="29">
        <v>0</v>
      </c>
      <c r="S145" s="46" t="e">
        <f t="shared" si="48"/>
        <v>#DIV/0!</v>
      </c>
    </row>
    <row r="146" spans="1:19" hidden="1" outlineLevel="1" x14ac:dyDescent="0.35">
      <c r="A146" s="3" t="s">
        <v>136</v>
      </c>
      <c r="B146" s="4"/>
      <c r="C146" s="5">
        <f>1016.88</f>
        <v>1016.88</v>
      </c>
      <c r="D146" s="5">
        <f>692.64</f>
        <v>692.64</v>
      </c>
      <c r="E146" s="5">
        <f t="shared" si="38"/>
        <v>1709.52</v>
      </c>
      <c r="F146" s="15">
        <f t="shared" si="43"/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29">
        <v>0</v>
      </c>
      <c r="S146" s="46" t="e">
        <f t="shared" si="48"/>
        <v>#DIV/0!</v>
      </c>
    </row>
    <row r="147" spans="1:19" hidden="1" outlineLevel="1" x14ac:dyDescent="0.35">
      <c r="A147" s="3" t="s">
        <v>137</v>
      </c>
      <c r="B147" s="5">
        <f>1167.31</f>
        <v>1167.31</v>
      </c>
      <c r="C147" s="5">
        <f>71.27</f>
        <v>71.27</v>
      </c>
      <c r="D147" s="5">
        <f>482.34</f>
        <v>482.34</v>
      </c>
      <c r="E147" s="5">
        <f t="shared" si="38"/>
        <v>1720.9199999999998</v>
      </c>
      <c r="F147" s="15">
        <f t="shared" si="43"/>
        <v>-0.58679356811815209</v>
      </c>
      <c r="G147" s="5">
        <f t="shared" si="44"/>
        <v>573.64</v>
      </c>
      <c r="H147" s="5">
        <f>D147</f>
        <v>482.34</v>
      </c>
      <c r="I147" s="5">
        <v>0</v>
      </c>
      <c r="J147" s="5">
        <v>0</v>
      </c>
      <c r="K147" s="5">
        <v>0</v>
      </c>
      <c r="L147" s="29">
        <v>0</v>
      </c>
      <c r="S147" s="46" t="e">
        <f t="shared" si="48"/>
        <v>#DIV/0!</v>
      </c>
    </row>
    <row r="148" spans="1:19" hidden="1" outlineLevel="1" x14ac:dyDescent="0.35">
      <c r="A148" s="3" t="s">
        <v>138</v>
      </c>
      <c r="B148" s="5">
        <f>876.8</f>
        <v>876.8</v>
      </c>
      <c r="C148" s="5">
        <f>20</f>
        <v>20</v>
      </c>
      <c r="D148" s="4"/>
      <c r="E148" s="5">
        <f t="shared" si="38"/>
        <v>896.8</v>
      </c>
      <c r="F148" s="15">
        <f t="shared" si="43"/>
        <v>0</v>
      </c>
      <c r="G148" s="4">
        <f t="shared" si="44"/>
        <v>298.93333333333334</v>
      </c>
      <c r="H148" s="4">
        <v>0</v>
      </c>
      <c r="I148" s="4">
        <f t="shared" si="35"/>
        <v>0</v>
      </c>
      <c r="J148" s="4">
        <f t="shared" si="36"/>
        <v>0</v>
      </c>
      <c r="K148" s="4">
        <f t="shared" si="37"/>
        <v>0</v>
      </c>
      <c r="L148" s="28">
        <v>0</v>
      </c>
      <c r="S148" s="46" t="e">
        <f t="shared" si="48"/>
        <v>#DIV/0!</v>
      </c>
    </row>
    <row r="149" spans="1:19" hidden="1" outlineLevel="1" x14ac:dyDescent="0.35">
      <c r="A149" s="3" t="s">
        <v>139</v>
      </c>
      <c r="B149" s="5">
        <f>136.36</f>
        <v>136.36000000000001</v>
      </c>
      <c r="C149" s="4"/>
      <c r="D149" s="4"/>
      <c r="E149" s="5">
        <f t="shared" si="38"/>
        <v>136.36000000000001</v>
      </c>
      <c r="F149" s="15">
        <f t="shared" si="43"/>
        <v>0</v>
      </c>
      <c r="G149" s="4">
        <f t="shared" si="44"/>
        <v>45.45333333333334</v>
      </c>
      <c r="H149" s="4">
        <f t="shared" si="45"/>
        <v>0</v>
      </c>
      <c r="I149" s="4">
        <f t="shared" si="35"/>
        <v>0</v>
      </c>
      <c r="J149" s="4">
        <f t="shared" si="36"/>
        <v>0</v>
      </c>
      <c r="K149" s="4">
        <f t="shared" si="37"/>
        <v>0</v>
      </c>
      <c r="L149" s="28">
        <v>0</v>
      </c>
      <c r="S149" s="46" t="e">
        <f t="shared" si="48"/>
        <v>#DIV/0!</v>
      </c>
    </row>
    <row r="150" spans="1:19" ht="22" hidden="1" outlineLevel="1" x14ac:dyDescent="0.35">
      <c r="A150" s="3" t="s">
        <v>140</v>
      </c>
      <c r="B150" s="6">
        <f>(((((((((((B136)+(B137))+(B138))+(B139))+(B140))+(B143))+(B144))+(B145))+(B146))+(B147))+(B148))+(B149)</f>
        <v>52970.58</v>
      </c>
      <c r="C150" s="6">
        <f>(((((((((((C136)+(C137))+(C138))+(C139))+(C140))+(C143))+(C144))+(C145))+(C146))+(C147))+(C148))+(C149)</f>
        <v>41042.51999999999</v>
      </c>
      <c r="D150" s="6">
        <f>(((((((((((D136)+(D137))+(D138))+(D139))+(D140))+(D143))+(D144))+(D145))+(D146))+(D147))+(D148))+(D149)</f>
        <v>21851.179999999997</v>
      </c>
      <c r="E150" s="6">
        <f t="shared" si="38"/>
        <v>115864.27999999998</v>
      </c>
      <c r="F150" s="15">
        <f t="shared" si="43"/>
        <v>-0.58748459994208113</v>
      </c>
      <c r="G150" s="6">
        <f t="shared" ref="G150:K150" si="49">(((((((((((G136)+(G137))+(G138))+(G139))+(G140))+(G143))+(G144))+(G145))+(G146))+(G147))+(G148))+(G149)</f>
        <v>30641.13</v>
      </c>
      <c r="H150" s="6">
        <f t="shared" si="49"/>
        <v>10682.306666666344</v>
      </c>
      <c r="I150" s="6">
        <f t="shared" si="49"/>
        <v>4957.5235008064374</v>
      </c>
      <c r="J150" s="6">
        <f t="shared" si="49"/>
        <v>9968.1867504032198</v>
      </c>
      <c r="K150" s="6">
        <f t="shared" si="49"/>
        <v>14978.849999999999</v>
      </c>
      <c r="L150" s="11">
        <f t="shared" ref="L150" si="50">(((((((((((L136)+(L137))+(L138))+(L139))+(L140))+(L143))+(L144))+(L145))+(L146))+(L147))+(L148))+(L149)</f>
        <v>20150.931727223873</v>
      </c>
      <c r="S150" s="46">
        <f t="shared" si="48"/>
        <v>0</v>
      </c>
    </row>
    <row r="151" spans="1:19" collapsed="1" x14ac:dyDescent="0.35">
      <c r="A151" s="3" t="s">
        <v>141</v>
      </c>
      <c r="B151" s="6">
        <f>(((B133)+(B134))+(B135))+(B150)</f>
        <v>53992.03</v>
      </c>
      <c r="C151" s="6">
        <f>(((C133)+(C134))+(C135))+(C150)</f>
        <v>46845.409999999989</v>
      </c>
      <c r="D151" s="6">
        <f>(((D133)+(D134))+(D135))+(D150)</f>
        <v>24402.579999999998</v>
      </c>
      <c r="E151" s="6">
        <f t="shared" si="38"/>
        <v>125240.01999999999</v>
      </c>
      <c r="F151" s="15">
        <f t="shared" si="43"/>
        <v>-0.54803366348699989</v>
      </c>
      <c r="G151" s="6">
        <f t="shared" ref="G151:K151" si="51">(((G133)+(G134))+(G135))+(G150)</f>
        <v>31945.406666666669</v>
      </c>
      <c r="H151" s="6">
        <f t="shared" si="51"/>
        <v>11521.776666666343</v>
      </c>
      <c r="I151" s="6">
        <f t="shared" si="51"/>
        <v>6368.8021401260976</v>
      </c>
      <c r="J151" s="6">
        <f t="shared" si="51"/>
        <v>11381.52607006305</v>
      </c>
      <c r="K151" s="6">
        <f t="shared" si="51"/>
        <v>16394.25</v>
      </c>
      <c r="L151" s="11">
        <f t="shared" ref="L151" si="52">(((L133)+(L134))+(L135))+(L150)</f>
        <v>21564.271046883703</v>
      </c>
      <c r="M151">
        <v>3027.17</v>
      </c>
      <c r="S151" s="46">
        <f t="shared" si="48"/>
        <v>0.14037896265626204</v>
      </c>
    </row>
    <row r="152" spans="1:19" hidden="1" outlineLevel="1" x14ac:dyDescent="0.35">
      <c r="A152" s="3" t="s">
        <v>142</v>
      </c>
      <c r="B152" s="4"/>
      <c r="C152" s="4"/>
      <c r="D152" s="4"/>
      <c r="E152" s="5">
        <f t="shared" si="38"/>
        <v>0</v>
      </c>
      <c r="F152" s="15">
        <f t="shared" si="43"/>
        <v>0</v>
      </c>
      <c r="G152" s="4">
        <f t="shared" si="44"/>
        <v>0</v>
      </c>
      <c r="H152" s="4">
        <f t="shared" si="45"/>
        <v>0</v>
      </c>
      <c r="I152" s="4">
        <f t="shared" si="35"/>
        <v>0</v>
      </c>
      <c r="J152" s="4">
        <f t="shared" si="36"/>
        <v>0</v>
      </c>
      <c r="K152" s="4">
        <f t="shared" si="37"/>
        <v>0</v>
      </c>
      <c r="L152" s="28">
        <f t="shared" si="37"/>
        <v>0</v>
      </c>
      <c r="S152" s="46" t="e">
        <f t="shared" si="48"/>
        <v>#DIV/0!</v>
      </c>
    </row>
    <row r="153" spans="1:19" hidden="1" outlineLevel="1" x14ac:dyDescent="0.35">
      <c r="A153" s="3" t="s">
        <v>143</v>
      </c>
      <c r="B153" s="4"/>
      <c r="C153" s="5">
        <f>77.03</f>
        <v>77.03</v>
      </c>
      <c r="D153" s="4"/>
      <c r="E153" s="5">
        <f t="shared" si="38"/>
        <v>77.03</v>
      </c>
      <c r="F153" s="15">
        <f t="shared" si="43"/>
        <v>0</v>
      </c>
      <c r="G153" s="4">
        <f t="shared" si="44"/>
        <v>25.676666666666666</v>
      </c>
      <c r="H153" s="4">
        <f t="shared" si="45"/>
        <v>0</v>
      </c>
      <c r="I153" s="4">
        <f t="shared" si="35"/>
        <v>0</v>
      </c>
      <c r="J153" s="4">
        <f t="shared" si="36"/>
        <v>0</v>
      </c>
      <c r="K153" s="4">
        <f t="shared" si="37"/>
        <v>0</v>
      </c>
      <c r="L153" s="28">
        <v>0</v>
      </c>
      <c r="S153" s="46" t="e">
        <f t="shared" si="48"/>
        <v>#DIV/0!</v>
      </c>
    </row>
    <row r="154" spans="1:19" hidden="1" outlineLevel="1" x14ac:dyDescent="0.35">
      <c r="A154" s="3" t="s">
        <v>144</v>
      </c>
      <c r="B154" s="5">
        <f>224.86</f>
        <v>224.86</v>
      </c>
      <c r="C154" s="5">
        <f>46.56</f>
        <v>46.56</v>
      </c>
      <c r="D154" s="4"/>
      <c r="E154" s="5">
        <f t="shared" si="38"/>
        <v>271.42</v>
      </c>
      <c r="F154" s="15">
        <f t="shared" si="43"/>
        <v>0</v>
      </c>
      <c r="G154" s="4">
        <f t="shared" si="44"/>
        <v>90.473333333333343</v>
      </c>
      <c r="H154" s="4">
        <v>0</v>
      </c>
      <c r="I154" s="4">
        <f t="shared" si="35"/>
        <v>0</v>
      </c>
      <c r="J154" s="4">
        <f t="shared" si="36"/>
        <v>0</v>
      </c>
      <c r="K154" s="4">
        <f t="shared" si="37"/>
        <v>0</v>
      </c>
      <c r="L154" s="28">
        <v>0</v>
      </c>
      <c r="S154" s="46" t="e">
        <f t="shared" si="48"/>
        <v>#DIV/0!</v>
      </c>
    </row>
    <row r="155" spans="1:19" ht="22" collapsed="1" x14ac:dyDescent="0.35">
      <c r="A155" s="3" t="s">
        <v>145</v>
      </c>
      <c r="B155" s="6">
        <f>((B152)+(B153))+(B154)</f>
        <v>224.86</v>
      </c>
      <c r="C155" s="6">
        <f>((C152)+(C153))+(C154)</f>
        <v>123.59</v>
      </c>
      <c r="D155" s="6">
        <f>((D152)+(D153))+(D154)</f>
        <v>0</v>
      </c>
      <c r="E155" s="6">
        <f t="shared" si="38"/>
        <v>348.45000000000005</v>
      </c>
      <c r="F155" s="15">
        <f t="shared" si="43"/>
        <v>0</v>
      </c>
      <c r="G155" s="6">
        <f t="shared" ref="G155:K155" si="53">((G152)+(G153))+(G154)</f>
        <v>116.15</v>
      </c>
      <c r="H155" s="6">
        <f t="shared" si="53"/>
        <v>0</v>
      </c>
      <c r="I155" s="6">
        <f t="shared" si="53"/>
        <v>0</v>
      </c>
      <c r="J155" s="6">
        <f t="shared" si="53"/>
        <v>0</v>
      </c>
      <c r="K155" s="6">
        <f t="shared" si="53"/>
        <v>0</v>
      </c>
      <c r="L155" s="11">
        <f t="shared" ref="L155" si="54">((L152)+(L153))+(L154)</f>
        <v>0</v>
      </c>
      <c r="S155" s="46" t="e">
        <f t="shared" si="48"/>
        <v>#DIV/0!</v>
      </c>
    </row>
    <row r="156" spans="1:19" x14ac:dyDescent="0.35">
      <c r="A156" s="3" t="s">
        <v>146</v>
      </c>
      <c r="B156" s="4"/>
      <c r="C156" s="4"/>
      <c r="D156" s="5">
        <f>131.12</f>
        <v>131.12</v>
      </c>
      <c r="E156" s="5">
        <f t="shared" si="38"/>
        <v>131.12</v>
      </c>
      <c r="F156" s="15">
        <f t="shared" si="43"/>
        <v>0</v>
      </c>
      <c r="G156" s="5">
        <f t="shared" si="44"/>
        <v>43.706666666666671</v>
      </c>
      <c r="H156" s="5">
        <f t="shared" si="45"/>
        <v>0</v>
      </c>
      <c r="I156" s="5">
        <f t="shared" si="35"/>
        <v>131.12</v>
      </c>
      <c r="J156" s="5">
        <f t="shared" si="36"/>
        <v>131.12</v>
      </c>
      <c r="K156" s="5">
        <f t="shared" si="37"/>
        <v>131.12</v>
      </c>
      <c r="L156" s="29">
        <v>0</v>
      </c>
      <c r="S156" s="46" t="e">
        <f t="shared" si="48"/>
        <v>#DIV/0!</v>
      </c>
    </row>
    <row r="157" spans="1:19" x14ac:dyDescent="0.35">
      <c r="A157" s="3" t="s">
        <v>147</v>
      </c>
      <c r="B157" s="6">
        <f>(((((((((((((B63)+(B72))+(B76))+(B77))+(B95))+(B101))+(B104))+(B115))+(B119))+(B129))+(B132))+(B151))+(B155))+(B156)</f>
        <v>214287.05</v>
      </c>
      <c r="C157" s="6">
        <f>(((((((((((((C63)+(C72))+(C76))+(C77))+(C95))+(C101))+(C104))+(C115))+(C119))+(C129))+(C132))+(C151))+(C155))+(C156)</f>
        <v>204650.21</v>
      </c>
      <c r="D157" s="6">
        <f>(((((((((((((D63)+(D72))+(D76))+(D77))+(D95))+(D101))+(D104))+(D115))+(D119))+(D129))+(D132))+(D151))+(D155))+(D156)</f>
        <v>147723.34</v>
      </c>
      <c r="E157" s="6">
        <f t="shared" si="38"/>
        <v>566660.6</v>
      </c>
      <c r="F157" s="15">
        <f t="shared" si="43"/>
        <v>-0.31062871041437173</v>
      </c>
      <c r="G157" s="6">
        <f t="shared" ref="G157:K157" si="55">(((((((((((((G63)+(G72))+(G76))+(G77))+(G95))+(G101))+(G104))+(G115))+(G119))+(G129))+(G132))+(G151))+(G155))+(G156)</f>
        <v>142936.32000000001</v>
      </c>
      <c r="H157" s="6">
        <f t="shared" si="55"/>
        <v>88426.686666664114</v>
      </c>
      <c r="I157" s="6">
        <f t="shared" si="55"/>
        <v>51373.997491508475</v>
      </c>
      <c r="J157" s="6">
        <f t="shared" si="55"/>
        <v>72518.553757471411</v>
      </c>
      <c r="K157" s="6">
        <f t="shared" si="55"/>
        <v>94154.09</v>
      </c>
      <c r="L157" s="11">
        <f t="shared" ref="L157" si="56">(((((((((((((L63)+(L72))+(L76))+(L77))+(L95))+(L101))+(L104))+(L115))+(L119))+(L129))+(L132))+(L151))+(L155))+(L156)</f>
        <v>103327.71424783372</v>
      </c>
      <c r="M157">
        <v>8678.24</v>
      </c>
      <c r="S157" s="46">
        <f t="shared" si="48"/>
        <v>8.3987534836830482E-2</v>
      </c>
    </row>
    <row r="158" spans="1:19" x14ac:dyDescent="0.35">
      <c r="A158" s="10" t="s">
        <v>148</v>
      </c>
      <c r="B158" s="18">
        <f>(B61)-(B157)</f>
        <v>-48625.880000000005</v>
      </c>
      <c r="C158" s="18">
        <f>(C61)-(C157)</f>
        <v>-53119.450000000012</v>
      </c>
      <c r="D158" s="18">
        <f>(D61)-(D157)</f>
        <v>-32007.130000000019</v>
      </c>
      <c r="E158" s="18">
        <f t="shared" si="38"/>
        <v>-133752.46000000002</v>
      </c>
      <c r="F158" s="19">
        <f t="shared" si="43"/>
        <v>-0.34176759371758381</v>
      </c>
      <c r="G158" s="18">
        <f t="shared" ref="G158:K158" si="57">(G61)-(G157)</f>
        <v>1366.3933333332825</v>
      </c>
      <c r="H158" s="18">
        <f t="shared" si="57"/>
        <v>5931.06666666604</v>
      </c>
      <c r="I158" s="18">
        <f t="shared" si="57"/>
        <v>29455.090319256691</v>
      </c>
      <c r="J158" s="18">
        <f t="shared" si="57"/>
        <v>25754.095147911154</v>
      </c>
      <c r="K158" s="18">
        <f t="shared" si="57"/>
        <v>21562.119999999981</v>
      </c>
      <c r="L158" s="18">
        <f t="shared" ref="L158" si="58">(L61)-(L157)</f>
        <v>2208.8075185319176</v>
      </c>
      <c r="M158" s="48">
        <f>SUM(M61-M157)</f>
        <v>-3857.9399999999996</v>
      </c>
      <c r="S158" s="46">
        <f t="shared" si="48"/>
        <v>-1.7466166552005296</v>
      </c>
    </row>
    <row r="159" spans="1:19" x14ac:dyDescent="0.35">
      <c r="A159" s="3"/>
      <c r="B159" s="4"/>
      <c r="C159" s="4"/>
      <c r="D159" s="4"/>
      <c r="E159" s="4"/>
    </row>
    <row r="162" spans="1:5" x14ac:dyDescent="0.35">
      <c r="A162" s="49"/>
      <c r="B162" s="50"/>
      <c r="C162" s="50"/>
      <c r="D162" s="50"/>
      <c r="E162" s="50"/>
    </row>
  </sheetData>
  <mergeCells count="4">
    <mergeCell ref="A1:E1"/>
    <mergeCell ref="A2:E2"/>
    <mergeCell ref="A3:E3"/>
    <mergeCell ref="A162:E162"/>
  </mergeCells>
  <pageMargins left="0.7" right="0.7" top="0.75" bottom="0.75" header="0.3" footer="0.3"/>
  <pageSetup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CFC1F-0248-44B4-8460-216B39729203}">
  <sheetPr>
    <pageSetUpPr fitToPage="1"/>
  </sheetPr>
  <dimension ref="A1:S162"/>
  <sheetViews>
    <sheetView zoomScale="160" zoomScaleNormal="160" workbookViewId="0">
      <pane xSplit="1" ySplit="5" topLeftCell="M14" activePane="bottomRight" state="frozen"/>
      <selection pane="topRight" activeCell="B1" sqref="B1"/>
      <selection pane="bottomLeft" activeCell="A6" sqref="A6"/>
      <selection pane="bottomRight" activeCell="W30" sqref="W30"/>
    </sheetView>
  </sheetViews>
  <sheetFormatPr defaultRowHeight="14.5" x14ac:dyDescent="0.35"/>
  <cols>
    <col min="1" max="1" width="24.54296875" hidden="1" customWidth="1"/>
    <col min="2" max="4" width="11.08984375" hidden="1" customWidth="1"/>
    <col min="5" max="5" width="12" hidden="1" customWidth="1"/>
    <col min="6" max="6" width="6.54296875" style="14" hidden="1" customWidth="1"/>
    <col min="7" max="11" width="10.453125" hidden="1" customWidth="1"/>
    <col min="12" max="12" width="10.453125" style="12" hidden="1" customWidth="1"/>
    <col min="13" max="13" width="12.08984375" bestFit="1" customWidth="1"/>
    <col min="14" max="14" width="25.6328125" customWidth="1"/>
    <col min="15" max="15" width="13" bestFit="1" customWidth="1"/>
    <col min="17" max="17" width="24.36328125" customWidth="1"/>
    <col min="18" max="18" width="13" bestFit="1" customWidth="1"/>
  </cols>
  <sheetData>
    <row r="1" spans="1:19" ht="18" hidden="1" x14ac:dyDescent="0.4">
      <c r="A1" s="51" t="s">
        <v>149</v>
      </c>
      <c r="B1" s="50"/>
      <c r="C1" s="50"/>
      <c r="D1" s="50"/>
      <c r="E1" s="50"/>
      <c r="H1" s="25">
        <f>D120/D127</f>
        <v>0.36288858669066143</v>
      </c>
      <c r="I1" t="s">
        <v>168</v>
      </c>
      <c r="J1" t="s">
        <v>168</v>
      </c>
      <c r="K1" t="s">
        <v>168</v>
      </c>
      <c r="L1" s="12" t="s">
        <v>168</v>
      </c>
    </row>
    <row r="2" spans="1:19" ht="18" x14ac:dyDescent="0.4">
      <c r="A2" s="51" t="s">
        <v>150</v>
      </c>
      <c r="B2" s="50"/>
      <c r="C2" s="50"/>
      <c r="D2" s="50"/>
      <c r="E2" s="50"/>
      <c r="H2" t="s">
        <v>161</v>
      </c>
      <c r="I2" t="s">
        <v>162</v>
      </c>
      <c r="J2" t="s">
        <v>164</v>
      </c>
      <c r="K2" t="s">
        <v>166</v>
      </c>
      <c r="L2" s="12" t="s">
        <v>166</v>
      </c>
      <c r="O2" t="s">
        <v>186</v>
      </c>
    </row>
    <row r="3" spans="1:19" hidden="1" x14ac:dyDescent="0.35">
      <c r="A3" s="52" t="s">
        <v>151</v>
      </c>
      <c r="B3" s="50"/>
      <c r="C3" s="50"/>
      <c r="D3" s="50"/>
      <c r="E3" s="50"/>
      <c r="G3" t="s">
        <v>3</v>
      </c>
      <c r="I3" t="s">
        <v>163</v>
      </c>
      <c r="J3" t="s">
        <v>165</v>
      </c>
      <c r="K3" t="s">
        <v>167</v>
      </c>
      <c r="L3" s="12" t="s">
        <v>176</v>
      </c>
    </row>
    <row r="4" spans="1:19" hidden="1" x14ac:dyDescent="0.35">
      <c r="B4">
        <v>2023</v>
      </c>
      <c r="C4">
        <v>2024</v>
      </c>
      <c r="D4">
        <v>2025</v>
      </c>
      <c r="G4" t="s">
        <v>160</v>
      </c>
      <c r="H4">
        <v>2026</v>
      </c>
      <c r="I4" s="12" t="s">
        <v>169</v>
      </c>
      <c r="J4" s="12"/>
      <c r="K4" s="12"/>
    </row>
    <row r="5" spans="1:19" ht="24" hidden="1" x14ac:dyDescent="0.35">
      <c r="A5" s="1"/>
      <c r="B5" s="2" t="s">
        <v>0</v>
      </c>
      <c r="C5" s="2" t="s">
        <v>1</v>
      </c>
      <c r="D5" s="2" t="s">
        <v>175</v>
      </c>
      <c r="E5" s="2" t="s">
        <v>3</v>
      </c>
      <c r="F5" s="21" t="s">
        <v>171</v>
      </c>
      <c r="G5" s="2" t="s">
        <v>152</v>
      </c>
      <c r="H5" s="2" t="s">
        <v>152</v>
      </c>
      <c r="I5" s="2" t="s">
        <v>152</v>
      </c>
      <c r="J5" s="2" t="s">
        <v>152</v>
      </c>
      <c r="K5" s="2" t="s">
        <v>152</v>
      </c>
      <c r="L5" s="26" t="s">
        <v>152</v>
      </c>
    </row>
    <row r="6" spans="1:19" hidden="1" x14ac:dyDescent="0.35">
      <c r="A6" s="3" t="s">
        <v>4</v>
      </c>
      <c r="B6" s="4"/>
      <c r="C6" s="4"/>
      <c r="D6" s="4"/>
      <c r="E6" s="4"/>
    </row>
    <row r="7" spans="1:19" hidden="1" x14ac:dyDescent="0.35">
      <c r="A7" s="3" t="s">
        <v>5</v>
      </c>
      <c r="B7" s="4"/>
      <c r="C7" s="4"/>
      <c r="D7" s="4"/>
      <c r="E7" s="5">
        <f t="shared" ref="E7:E37" si="0">((B7)+(C7))+(D7)</f>
        <v>0</v>
      </c>
    </row>
    <row r="8" spans="1:19" hidden="1" x14ac:dyDescent="0.35">
      <c r="A8" s="3" t="s">
        <v>6</v>
      </c>
      <c r="B8" s="5">
        <f>2000</f>
        <v>2000</v>
      </c>
      <c r="C8" s="4"/>
      <c r="D8" s="4"/>
      <c r="E8" s="7">
        <v>0</v>
      </c>
    </row>
    <row r="9" spans="1:19" hidden="1" x14ac:dyDescent="0.35">
      <c r="A9" s="3" t="s">
        <v>5</v>
      </c>
      <c r="B9" s="6">
        <f>(B7)+(B8)</f>
        <v>2000</v>
      </c>
      <c r="C9" s="6">
        <f>(C7)+(C8)</f>
        <v>0</v>
      </c>
      <c r="D9" s="6">
        <f>(D7)+(D8)</f>
        <v>0</v>
      </c>
      <c r="E9" s="6">
        <v>0</v>
      </c>
      <c r="F9" s="14">
        <f>IF(D9=0,0,IFERROR((D9-B9)/B9,0))</f>
        <v>0</v>
      </c>
      <c r="G9" s="6">
        <f>E9/3</f>
        <v>0</v>
      </c>
      <c r="H9" s="6">
        <v>0</v>
      </c>
      <c r="I9" s="17">
        <f>D9*F9</f>
        <v>0</v>
      </c>
      <c r="J9" s="17">
        <f>D9*(F9/2)</f>
        <v>0</v>
      </c>
      <c r="K9" s="17">
        <f>D9</f>
        <v>0</v>
      </c>
      <c r="L9" s="27">
        <f>E9</f>
        <v>0</v>
      </c>
    </row>
    <row r="10" spans="1:19" hidden="1" x14ac:dyDescent="0.35">
      <c r="A10" s="3" t="s">
        <v>8</v>
      </c>
      <c r="B10" s="4"/>
      <c r="C10" s="4"/>
      <c r="D10" s="4"/>
      <c r="E10" s="5">
        <f t="shared" si="0"/>
        <v>0</v>
      </c>
      <c r="F10" s="15">
        <f t="shared" ref="F10:F73" si="1">IF(D10=0,0,IFERROR((D10-B10)/B10,0))</f>
        <v>0</v>
      </c>
      <c r="G10" s="4">
        <f t="shared" ref="G10:G69" si="2">E10/3</f>
        <v>0</v>
      </c>
      <c r="H10" s="4">
        <f t="shared" ref="H10:H71" si="3">IFERROR(_xlfn.FORECAST.LINEAR($H$4,B10:D10,$B$4:$D$4),0)</f>
        <v>0</v>
      </c>
      <c r="I10" s="4">
        <f t="shared" ref="I10:I14" si="4">D10*MIN((1+F10),1)</f>
        <v>0</v>
      </c>
      <c r="J10" s="4">
        <f>D10*MIN((1+F10/2),1)</f>
        <v>0</v>
      </c>
      <c r="K10" s="4">
        <f t="shared" ref="K10:L61" si="5">D10</f>
        <v>0</v>
      </c>
      <c r="L10" s="28">
        <f t="shared" si="5"/>
        <v>0</v>
      </c>
    </row>
    <row r="11" spans="1:19" hidden="1" x14ac:dyDescent="0.35">
      <c r="A11" s="3"/>
      <c r="B11" s="4"/>
      <c r="C11" s="5">
        <f>317.16</f>
        <v>317.16000000000003</v>
      </c>
      <c r="D11" s="4"/>
      <c r="E11" s="5">
        <f t="shared" si="0"/>
        <v>317.16000000000003</v>
      </c>
      <c r="F11" s="15">
        <f t="shared" si="1"/>
        <v>0</v>
      </c>
      <c r="G11" s="4">
        <f t="shared" si="2"/>
        <v>105.72000000000001</v>
      </c>
      <c r="H11" s="4">
        <f t="shared" si="3"/>
        <v>0</v>
      </c>
      <c r="I11" s="4">
        <f t="shared" si="4"/>
        <v>0</v>
      </c>
      <c r="J11" s="4">
        <f t="shared" ref="J11:J74" si="6">D11*MIN((1+F11/2),1)</f>
        <v>0</v>
      </c>
      <c r="K11" s="4">
        <f t="shared" si="5"/>
        <v>0</v>
      </c>
      <c r="L11" s="28">
        <v>0</v>
      </c>
    </row>
    <row r="12" spans="1:19" hidden="1" x14ac:dyDescent="0.35">
      <c r="A12" s="3"/>
      <c r="B12" s="5">
        <f>40608.77+25220.14</f>
        <v>65828.91</v>
      </c>
      <c r="C12" s="5">
        <f>60590.6</f>
        <v>60590.6</v>
      </c>
      <c r="D12" s="5">
        <f>42586.17+4500+370+2500</f>
        <v>49956.17</v>
      </c>
      <c r="E12" s="5">
        <f t="shared" si="0"/>
        <v>176375.67999999999</v>
      </c>
      <c r="F12" s="15">
        <f t="shared" si="1"/>
        <v>-0.24112111228941821</v>
      </c>
      <c r="G12" s="5">
        <f t="shared" si="2"/>
        <v>58791.893333333333</v>
      </c>
      <c r="H12" s="5">
        <f t="shared" si="3"/>
        <v>42919.15333333239</v>
      </c>
      <c r="I12" s="5">
        <f t="shared" si="4"/>
        <v>37910.682723880731</v>
      </c>
      <c r="J12" s="5">
        <f t="shared" si="6"/>
        <v>43933.426361940365</v>
      </c>
      <c r="K12" s="5">
        <f t="shared" si="5"/>
        <v>49956.17</v>
      </c>
      <c r="L12" s="29">
        <f>J12</f>
        <v>43933.426361940365</v>
      </c>
    </row>
    <row r="13" spans="1:19" hidden="1" x14ac:dyDescent="0.35">
      <c r="A13" s="3" t="s">
        <v>11</v>
      </c>
      <c r="B13" s="5">
        <f>675</f>
        <v>675</v>
      </c>
      <c r="C13" s="5">
        <f>1425</f>
        <v>1425</v>
      </c>
      <c r="D13" s="5">
        <f>50</f>
        <v>50</v>
      </c>
      <c r="E13" s="5">
        <f t="shared" si="0"/>
        <v>2150</v>
      </c>
      <c r="F13" s="15">
        <f t="shared" si="1"/>
        <v>-0.92592592592592593</v>
      </c>
      <c r="G13" s="5">
        <f t="shared" si="2"/>
        <v>716.66666666666663</v>
      </c>
      <c r="H13" s="5">
        <f t="shared" si="3"/>
        <v>91.666666666627862</v>
      </c>
      <c r="I13" s="5">
        <f t="shared" si="4"/>
        <v>3.7037037037037033</v>
      </c>
      <c r="J13" s="5">
        <f t="shared" si="6"/>
        <v>26.851851851851848</v>
      </c>
      <c r="K13" s="5">
        <f t="shared" si="5"/>
        <v>50</v>
      </c>
      <c r="L13" s="29">
        <v>0</v>
      </c>
      <c r="O13">
        <v>2026</v>
      </c>
    </row>
    <row r="14" spans="1:19" x14ac:dyDescent="0.35">
      <c r="A14" s="3" t="s">
        <v>12</v>
      </c>
      <c r="B14" s="5">
        <f>3000</f>
        <v>3000</v>
      </c>
      <c r="C14" s="4"/>
      <c r="D14" s="4"/>
      <c r="E14" s="7">
        <v>0</v>
      </c>
      <c r="F14" s="15">
        <f t="shared" si="1"/>
        <v>0</v>
      </c>
      <c r="G14" s="4">
        <f t="shared" si="2"/>
        <v>0</v>
      </c>
      <c r="H14" s="4">
        <f t="shared" si="3"/>
        <v>0</v>
      </c>
      <c r="I14" s="4">
        <f t="shared" si="4"/>
        <v>0</v>
      </c>
      <c r="J14" s="4">
        <f t="shared" si="6"/>
        <v>0</v>
      </c>
      <c r="K14" s="4">
        <f t="shared" si="5"/>
        <v>0</v>
      </c>
      <c r="L14" s="28">
        <f t="shared" si="5"/>
        <v>0</v>
      </c>
      <c r="N14" s="34"/>
      <c r="O14" s="35" t="s">
        <v>168</v>
      </c>
      <c r="P14" s="35"/>
      <c r="Q14" s="34" t="s">
        <v>182</v>
      </c>
      <c r="R14" s="35" t="s">
        <v>183</v>
      </c>
      <c r="S14" s="36"/>
    </row>
    <row r="15" spans="1:19" x14ac:dyDescent="0.35">
      <c r="A15" s="3" t="s">
        <v>8</v>
      </c>
      <c r="B15" s="6">
        <f>((((B10)+(B11))+(B12))+(B13))+(B14)</f>
        <v>69503.91</v>
      </c>
      <c r="C15" s="6">
        <f>((((C10)+(C11))+(C12))+(C13))+(C14)</f>
        <v>62332.76</v>
      </c>
      <c r="D15" s="6">
        <f>((((D10)+(D11))+(D12))+(D13))+(D14)</f>
        <v>50006.17</v>
      </c>
      <c r="E15" s="6">
        <f t="shared" si="0"/>
        <v>181842.84000000003</v>
      </c>
      <c r="F15" s="13">
        <f t="shared" si="1"/>
        <v>-0.28052723940279051</v>
      </c>
      <c r="G15" s="6">
        <f t="shared" si="2"/>
        <v>60614.280000000006</v>
      </c>
      <c r="H15" s="6">
        <f t="shared" si="3"/>
        <v>41116.540000002831</v>
      </c>
      <c r="I15" s="6">
        <f>D15*MIN((1+F15),1)</f>
        <v>35978.077176793362</v>
      </c>
      <c r="J15" s="6">
        <f t="shared" si="6"/>
        <v>42992.12358839668</v>
      </c>
      <c r="K15" s="6">
        <f t="shared" si="5"/>
        <v>50006.17</v>
      </c>
      <c r="L15" s="11">
        <f>((((L10)+(L11))+(L12))+(L13))+(L14)</f>
        <v>43933.426361940365</v>
      </c>
      <c r="N15" s="37" t="str">
        <f>A15</f>
        <v xml:space="preserve">   Direct Public Support</v>
      </c>
      <c r="O15" s="31">
        <f>L15</f>
        <v>43933.426361940365</v>
      </c>
      <c r="P15" s="44">
        <f>O15/$O$28</f>
        <v>0.41628647246115608</v>
      </c>
      <c r="Q15" s="37" t="str">
        <f>A72</f>
        <v xml:space="preserve">   Business Expenses</v>
      </c>
      <c r="R15" s="31">
        <f>L72</f>
        <v>2417.9157656041471</v>
      </c>
      <c r="S15" s="38">
        <f>R15/$R$35</f>
        <v>2.3400457304269064E-2</v>
      </c>
    </row>
    <row r="16" spans="1:19" x14ac:dyDescent="0.35">
      <c r="A16" s="3" t="s">
        <v>14</v>
      </c>
      <c r="B16" s="5">
        <f>250</f>
        <v>250</v>
      </c>
      <c r="C16" s="5">
        <f>5315</f>
        <v>5315</v>
      </c>
      <c r="D16" s="5">
        <f>370</f>
        <v>370</v>
      </c>
      <c r="E16" s="5">
        <f t="shared" si="0"/>
        <v>5935</v>
      </c>
      <c r="F16" s="15">
        <f t="shared" si="1"/>
        <v>0.48</v>
      </c>
      <c r="G16" s="5">
        <f t="shared" si="2"/>
        <v>1978.3333333333333</v>
      </c>
      <c r="H16" s="5">
        <f t="shared" si="3"/>
        <v>2098.3333333333285</v>
      </c>
      <c r="I16" s="5"/>
      <c r="J16" s="5"/>
      <c r="K16" s="5"/>
      <c r="L16" s="29"/>
      <c r="N16" s="37" t="str">
        <f>A38</f>
        <v xml:space="preserve">   Fundraising Events</v>
      </c>
      <c r="O16" s="31">
        <f>L38</f>
        <v>25300</v>
      </c>
      <c r="P16" s="44">
        <f t="shared" ref="P16:P27" si="7">O16/$O$28</f>
        <v>0.23972743820389086</v>
      </c>
      <c r="Q16" s="37" t="str">
        <f>A76</f>
        <v xml:space="preserve">   Contract Services</v>
      </c>
      <c r="R16" s="31">
        <f>L76</f>
        <v>600</v>
      </c>
      <c r="S16" s="38">
        <f t="shared" ref="S16:S30" si="8">R16/$R$35</f>
        <v>5.8067673747324673E-3</v>
      </c>
    </row>
    <row r="17" spans="1:19" x14ac:dyDescent="0.35">
      <c r="A17" s="3" t="s">
        <v>153</v>
      </c>
      <c r="B17" s="5">
        <f>1240</f>
        <v>1240</v>
      </c>
      <c r="C17" s="4"/>
      <c r="D17" s="5">
        <f>1300</f>
        <v>1300</v>
      </c>
      <c r="E17" s="5">
        <f>((B17)+(C17))+(D17)</f>
        <v>2540</v>
      </c>
      <c r="F17" s="15">
        <f t="shared" si="1"/>
        <v>4.8387096774193547E-2</v>
      </c>
      <c r="G17" s="5">
        <f t="shared" si="2"/>
        <v>846.66666666666663</v>
      </c>
      <c r="H17" s="5">
        <f t="shared" si="3"/>
        <v>1330</v>
      </c>
      <c r="I17" s="5">
        <f t="shared" ref="I17:I80" si="9">D17*MIN((1+F17),1)</f>
        <v>1300</v>
      </c>
      <c r="J17" s="5">
        <f t="shared" si="6"/>
        <v>1300</v>
      </c>
      <c r="K17" s="5">
        <f t="shared" si="5"/>
        <v>1300</v>
      </c>
      <c r="L17" s="29">
        <f>K17</f>
        <v>1300</v>
      </c>
      <c r="N17" s="37" t="str">
        <f>A43</f>
        <v xml:space="preserve">   Indirect Public Support</v>
      </c>
      <c r="O17" s="31">
        <f>L42</f>
        <v>20400</v>
      </c>
      <c r="P17" s="44">
        <f t="shared" si="7"/>
        <v>0.19329801341341396</v>
      </c>
      <c r="Q17" s="37" t="str">
        <f>A95</f>
        <v xml:space="preserve">   Fundraising</v>
      </c>
      <c r="R17" s="31">
        <f>L95</f>
        <v>12266.606</v>
      </c>
      <c r="S17" s="38">
        <f t="shared" si="8"/>
        <v>0.11871554586582922</v>
      </c>
    </row>
    <row r="18" spans="1:19" x14ac:dyDescent="0.35">
      <c r="A18" s="3" t="s">
        <v>154</v>
      </c>
      <c r="B18" s="5">
        <f>6810</f>
        <v>6810</v>
      </c>
      <c r="C18" s="5">
        <f>3940</f>
        <v>3940</v>
      </c>
      <c r="D18" s="5">
        <f>6540</f>
        <v>6540</v>
      </c>
      <c r="E18" s="5">
        <f>((B18)+(C18))+(D18)</f>
        <v>17290</v>
      </c>
      <c r="F18" s="15">
        <f t="shared" si="1"/>
        <v>-3.9647577092511016E-2</v>
      </c>
      <c r="G18" s="5">
        <f t="shared" si="2"/>
        <v>5763.333333333333</v>
      </c>
      <c r="H18" s="5">
        <f t="shared" si="3"/>
        <v>5493.3333333333139</v>
      </c>
      <c r="I18" s="5">
        <f t="shared" si="9"/>
        <v>6280.7048458149784</v>
      </c>
      <c r="J18" s="5">
        <f t="shared" si="6"/>
        <v>6410.3524229074883</v>
      </c>
      <c r="K18" s="5">
        <f t="shared" si="5"/>
        <v>6540</v>
      </c>
      <c r="L18" s="29">
        <v>5000</v>
      </c>
      <c r="N18" s="37" t="str">
        <f>A46</f>
        <v xml:space="preserve">   Investments</v>
      </c>
      <c r="O18" s="31">
        <f>L46</f>
        <v>644.61</v>
      </c>
      <c r="P18" s="44">
        <f t="shared" si="7"/>
        <v>6.1079329620794499E-3</v>
      </c>
      <c r="Q18" s="37" t="str">
        <f>A101</f>
        <v xml:space="preserve">   Media Support</v>
      </c>
      <c r="R18" s="31">
        <f>L101</f>
        <v>18930.560000000001</v>
      </c>
      <c r="S18" s="38">
        <f t="shared" si="8"/>
        <v>0.18320893032235913</v>
      </c>
    </row>
    <row r="19" spans="1:19" x14ac:dyDescent="0.35">
      <c r="A19" s="3" t="s">
        <v>155</v>
      </c>
      <c r="B19" s="5">
        <f>6830</f>
        <v>6830</v>
      </c>
      <c r="C19" s="5">
        <f>8440</f>
        <v>8440</v>
      </c>
      <c r="D19" s="5">
        <f>5180</f>
        <v>5180</v>
      </c>
      <c r="E19" s="5">
        <f>((B19)+(C19))+(D19)</f>
        <v>20450</v>
      </c>
      <c r="F19" s="15">
        <f t="shared" si="1"/>
        <v>-0.24158125915080528</v>
      </c>
      <c r="G19" s="5">
        <f t="shared" si="2"/>
        <v>6816.666666666667</v>
      </c>
      <c r="H19" s="5">
        <f t="shared" si="3"/>
        <v>5166.6666666667443</v>
      </c>
      <c r="I19" s="5">
        <f t="shared" si="9"/>
        <v>3928.6090775988287</v>
      </c>
      <c r="J19" s="5">
        <f t="shared" si="6"/>
        <v>4554.3045387994143</v>
      </c>
      <c r="K19" s="5">
        <f t="shared" si="5"/>
        <v>5180</v>
      </c>
      <c r="L19" s="29">
        <v>5000</v>
      </c>
      <c r="N19" s="37" t="str">
        <f>A54</f>
        <v xml:space="preserve">   Membership Dues</v>
      </c>
      <c r="O19" s="31">
        <f>L54</f>
        <v>10303.429801570754</v>
      </c>
      <c r="P19" s="44">
        <f t="shared" si="7"/>
        <v>9.7629044705303564E-2</v>
      </c>
      <c r="Q19" s="37" t="str">
        <f>A115</f>
        <v xml:space="preserve">   Operations</v>
      </c>
      <c r="R19" s="31">
        <f>L115</f>
        <v>9655.971435345873</v>
      </c>
      <c r="S19" s="38">
        <f t="shared" si="8"/>
        <v>9.3449966503525092E-2</v>
      </c>
    </row>
    <row r="20" spans="1:19" hidden="1" x14ac:dyDescent="0.35">
      <c r="A20" s="3" t="s">
        <v>15</v>
      </c>
      <c r="B20" s="5">
        <f>370</f>
        <v>370</v>
      </c>
      <c r="C20" s="4"/>
      <c r="D20" s="4"/>
      <c r="E20" s="7">
        <v>0</v>
      </c>
      <c r="F20" s="15">
        <f t="shared" si="1"/>
        <v>0</v>
      </c>
      <c r="G20" s="4">
        <f t="shared" si="2"/>
        <v>0</v>
      </c>
      <c r="H20" s="4">
        <f t="shared" si="3"/>
        <v>0</v>
      </c>
      <c r="I20" s="4">
        <f t="shared" si="9"/>
        <v>0</v>
      </c>
      <c r="J20" s="4">
        <f t="shared" si="6"/>
        <v>0</v>
      </c>
      <c r="K20" s="4">
        <f t="shared" si="5"/>
        <v>0</v>
      </c>
      <c r="L20" s="28">
        <f t="shared" si="5"/>
        <v>0</v>
      </c>
      <c r="N20" s="37"/>
      <c r="P20" s="44">
        <f t="shared" si="7"/>
        <v>0</v>
      </c>
      <c r="Q20" s="37"/>
      <c r="S20" s="38">
        <f t="shared" si="8"/>
        <v>0</v>
      </c>
    </row>
    <row r="21" spans="1:19" hidden="1" x14ac:dyDescent="0.35">
      <c r="A21" s="3" t="s">
        <v>16</v>
      </c>
      <c r="B21" s="4"/>
      <c r="C21" s="5"/>
      <c r="D21" s="4"/>
      <c r="E21" s="7">
        <v>0</v>
      </c>
      <c r="F21" s="15">
        <f t="shared" si="1"/>
        <v>0</v>
      </c>
      <c r="G21" s="4">
        <f t="shared" si="2"/>
        <v>0</v>
      </c>
      <c r="H21" s="4">
        <f t="shared" si="3"/>
        <v>0</v>
      </c>
      <c r="I21" s="4">
        <f t="shared" si="9"/>
        <v>0</v>
      </c>
      <c r="J21" s="4">
        <f t="shared" si="6"/>
        <v>0</v>
      </c>
      <c r="K21" s="4">
        <f t="shared" si="5"/>
        <v>0</v>
      </c>
      <c r="L21" s="28">
        <f t="shared" si="5"/>
        <v>0</v>
      </c>
      <c r="N21" s="37"/>
      <c r="P21" s="44">
        <f t="shared" si="7"/>
        <v>0</v>
      </c>
      <c r="Q21" s="37"/>
      <c r="S21" s="38">
        <f t="shared" si="8"/>
        <v>0</v>
      </c>
    </row>
    <row r="22" spans="1:19" hidden="1" x14ac:dyDescent="0.35">
      <c r="A22" s="3" t="s">
        <v>17</v>
      </c>
      <c r="B22" s="4"/>
      <c r="C22" s="5"/>
      <c r="D22" s="4"/>
      <c r="E22" s="7">
        <v>0</v>
      </c>
      <c r="F22" s="15">
        <f t="shared" si="1"/>
        <v>0</v>
      </c>
      <c r="G22" s="4">
        <f t="shared" si="2"/>
        <v>0</v>
      </c>
      <c r="H22" s="4">
        <f t="shared" si="3"/>
        <v>0</v>
      </c>
      <c r="I22" s="4">
        <f t="shared" si="9"/>
        <v>0</v>
      </c>
      <c r="J22" s="4">
        <f t="shared" si="6"/>
        <v>0</v>
      </c>
      <c r="K22" s="4">
        <f t="shared" si="5"/>
        <v>0</v>
      </c>
      <c r="L22" s="28">
        <f t="shared" si="5"/>
        <v>0</v>
      </c>
      <c r="N22" s="37"/>
      <c r="P22" s="44">
        <f t="shared" si="7"/>
        <v>0</v>
      </c>
      <c r="Q22" s="37"/>
      <c r="S22" s="38">
        <f t="shared" si="8"/>
        <v>0</v>
      </c>
    </row>
    <row r="23" spans="1:19" hidden="1" x14ac:dyDescent="0.35">
      <c r="A23" s="3" t="s">
        <v>18</v>
      </c>
      <c r="B23" s="4"/>
      <c r="C23" s="4"/>
      <c r="D23" s="5"/>
      <c r="E23" s="7">
        <v>0</v>
      </c>
      <c r="F23" s="15">
        <f t="shared" si="1"/>
        <v>0</v>
      </c>
      <c r="G23" s="5">
        <f t="shared" si="2"/>
        <v>0</v>
      </c>
      <c r="H23" s="5">
        <f t="shared" si="3"/>
        <v>0</v>
      </c>
      <c r="I23" s="5">
        <f t="shared" si="9"/>
        <v>0</v>
      </c>
      <c r="J23" s="5">
        <f t="shared" si="6"/>
        <v>0</v>
      </c>
      <c r="K23" s="5">
        <f t="shared" si="5"/>
        <v>0</v>
      </c>
      <c r="L23" s="29">
        <f t="shared" si="5"/>
        <v>0</v>
      </c>
      <c r="N23" s="37"/>
      <c r="P23" s="44">
        <f t="shared" si="7"/>
        <v>0</v>
      </c>
      <c r="Q23" s="37"/>
      <c r="S23" s="38">
        <f t="shared" si="8"/>
        <v>0</v>
      </c>
    </row>
    <row r="24" spans="1:19" hidden="1" x14ac:dyDescent="0.35">
      <c r="A24" s="3" t="s">
        <v>19</v>
      </c>
      <c r="B24" s="4"/>
      <c r="C24" s="4"/>
      <c r="D24" s="5"/>
      <c r="E24" s="7">
        <v>0</v>
      </c>
      <c r="F24" s="15">
        <f t="shared" si="1"/>
        <v>0</v>
      </c>
      <c r="G24" s="5">
        <f t="shared" si="2"/>
        <v>0</v>
      </c>
      <c r="H24" s="5">
        <f t="shared" si="3"/>
        <v>0</v>
      </c>
      <c r="I24" s="5">
        <f t="shared" si="9"/>
        <v>0</v>
      </c>
      <c r="J24" s="5">
        <f t="shared" si="6"/>
        <v>0</v>
      </c>
      <c r="K24" s="5">
        <f t="shared" si="5"/>
        <v>0</v>
      </c>
      <c r="L24" s="29">
        <f t="shared" si="5"/>
        <v>0</v>
      </c>
      <c r="N24" s="37"/>
      <c r="P24" s="44">
        <f t="shared" si="7"/>
        <v>0</v>
      </c>
      <c r="Q24" s="37"/>
      <c r="S24" s="38">
        <f t="shared" si="8"/>
        <v>0</v>
      </c>
    </row>
    <row r="25" spans="1:19" hidden="1" x14ac:dyDescent="0.35">
      <c r="A25" s="3" t="s">
        <v>20</v>
      </c>
      <c r="B25" s="4"/>
      <c r="C25" s="4"/>
      <c r="D25" s="5"/>
      <c r="E25" s="7">
        <v>0</v>
      </c>
      <c r="F25" s="15">
        <f t="shared" si="1"/>
        <v>0</v>
      </c>
      <c r="G25" s="5">
        <f t="shared" si="2"/>
        <v>0</v>
      </c>
      <c r="H25" s="5">
        <f t="shared" si="3"/>
        <v>0</v>
      </c>
      <c r="I25" s="5">
        <f t="shared" si="9"/>
        <v>0</v>
      </c>
      <c r="J25" s="5">
        <f t="shared" si="6"/>
        <v>0</v>
      </c>
      <c r="K25" s="5">
        <f t="shared" si="5"/>
        <v>0</v>
      </c>
      <c r="L25" s="29">
        <f t="shared" si="5"/>
        <v>0</v>
      </c>
      <c r="N25" s="37"/>
      <c r="P25" s="44">
        <f t="shared" si="7"/>
        <v>0</v>
      </c>
      <c r="Q25" s="37"/>
      <c r="S25" s="38">
        <f t="shared" si="8"/>
        <v>0</v>
      </c>
    </row>
    <row r="26" spans="1:19" hidden="1" x14ac:dyDescent="0.35">
      <c r="A26" s="3" t="s">
        <v>21</v>
      </c>
      <c r="B26" s="5">
        <f>727.44</f>
        <v>727.44</v>
      </c>
      <c r="C26" s="4"/>
      <c r="D26" s="4"/>
      <c r="E26" s="7">
        <v>0</v>
      </c>
      <c r="F26" s="15">
        <f t="shared" si="1"/>
        <v>0</v>
      </c>
      <c r="G26" s="4">
        <f t="shared" si="2"/>
        <v>0</v>
      </c>
      <c r="H26" s="4">
        <f t="shared" si="3"/>
        <v>0</v>
      </c>
      <c r="I26" s="4">
        <f t="shared" si="9"/>
        <v>0</v>
      </c>
      <c r="J26" s="4">
        <f t="shared" si="6"/>
        <v>0</v>
      </c>
      <c r="K26" s="4">
        <f t="shared" si="5"/>
        <v>0</v>
      </c>
      <c r="L26" s="28">
        <f t="shared" si="5"/>
        <v>0</v>
      </c>
      <c r="N26" s="37"/>
      <c r="P26" s="44">
        <f t="shared" si="7"/>
        <v>0</v>
      </c>
      <c r="Q26" s="37"/>
      <c r="S26" s="38">
        <f t="shared" si="8"/>
        <v>0</v>
      </c>
    </row>
    <row r="27" spans="1:19" x14ac:dyDescent="0.35">
      <c r="A27" s="3" t="s">
        <v>22</v>
      </c>
      <c r="B27" s="4"/>
      <c r="C27" s="5">
        <f>500</f>
        <v>500</v>
      </c>
      <c r="D27" s="4"/>
      <c r="E27" s="5">
        <f t="shared" si="0"/>
        <v>500</v>
      </c>
      <c r="F27" s="15">
        <f t="shared" si="1"/>
        <v>0</v>
      </c>
      <c r="G27" s="4">
        <f t="shared" si="2"/>
        <v>166.66666666666666</v>
      </c>
      <c r="H27" s="4">
        <f t="shared" si="3"/>
        <v>0</v>
      </c>
      <c r="I27" s="4">
        <f t="shared" si="9"/>
        <v>0</v>
      </c>
      <c r="J27" s="4">
        <f t="shared" si="6"/>
        <v>0</v>
      </c>
      <c r="K27" s="4">
        <f t="shared" si="5"/>
        <v>0</v>
      </c>
      <c r="L27" s="28">
        <v>0</v>
      </c>
      <c r="N27" s="37" t="s">
        <v>185</v>
      </c>
      <c r="O27" s="31">
        <f>L57</f>
        <v>4955.0556028545079</v>
      </c>
      <c r="P27" s="44">
        <f t="shared" si="7"/>
        <v>4.6951098254156012E-2</v>
      </c>
      <c r="Q27" s="37" t="s">
        <v>184</v>
      </c>
      <c r="R27" s="31">
        <f>L119</f>
        <v>420</v>
      </c>
      <c r="S27" s="38">
        <f t="shared" si="8"/>
        <v>4.0647371623127272E-3</v>
      </c>
    </row>
    <row r="28" spans="1:19" ht="15" thickBot="1" x14ac:dyDescent="0.4">
      <c r="A28" s="3" t="s">
        <v>23</v>
      </c>
      <c r="B28" s="5">
        <f>100</f>
        <v>100</v>
      </c>
      <c r="C28" s="5">
        <f>-148.01</f>
        <v>-148.01</v>
      </c>
      <c r="D28" s="4"/>
      <c r="E28" s="5">
        <f t="shared" si="0"/>
        <v>-48.009999999999991</v>
      </c>
      <c r="F28" s="15">
        <f t="shared" si="1"/>
        <v>0</v>
      </c>
      <c r="G28" s="4">
        <f t="shared" si="2"/>
        <v>-16.00333333333333</v>
      </c>
      <c r="H28" s="4">
        <f t="shared" si="3"/>
        <v>-644.03000000002794</v>
      </c>
      <c r="I28" s="4">
        <f t="shared" si="9"/>
        <v>0</v>
      </c>
      <c r="J28" s="4">
        <f t="shared" si="6"/>
        <v>0</v>
      </c>
      <c r="K28" s="4">
        <f t="shared" si="5"/>
        <v>0</v>
      </c>
      <c r="L28" s="28">
        <v>0</v>
      </c>
      <c r="N28" s="37"/>
      <c r="O28" s="32">
        <f>SUM(O15:O27)</f>
        <v>105536.52176636564</v>
      </c>
      <c r="P28" s="33">
        <f>SUM(P15:P27)</f>
        <v>0.99999999999999978</v>
      </c>
      <c r="Q28" s="37" t="str">
        <f>A129</f>
        <v xml:space="preserve">   Payroll Expenses</v>
      </c>
      <c r="R28" s="31">
        <f>L129</f>
        <v>37472.39</v>
      </c>
      <c r="S28" s="38">
        <f t="shared" si="8"/>
        <v>0.36265575284208529</v>
      </c>
    </row>
    <row r="29" spans="1:19" ht="15" hidden="1" thickTop="1" x14ac:dyDescent="0.35">
      <c r="A29" s="3" t="s">
        <v>24</v>
      </c>
      <c r="B29" s="8"/>
      <c r="C29" s="4"/>
      <c r="D29" s="4"/>
      <c r="E29" s="5">
        <f t="shared" si="0"/>
        <v>0</v>
      </c>
      <c r="F29" s="15">
        <f t="shared" si="1"/>
        <v>0</v>
      </c>
      <c r="G29" s="4">
        <f t="shared" si="2"/>
        <v>0</v>
      </c>
      <c r="H29" s="4">
        <f t="shared" si="3"/>
        <v>0</v>
      </c>
      <c r="I29" s="4">
        <f t="shared" si="9"/>
        <v>0</v>
      </c>
      <c r="J29" s="4">
        <f t="shared" si="6"/>
        <v>0</v>
      </c>
      <c r="K29" s="4">
        <f t="shared" si="5"/>
        <v>0</v>
      </c>
      <c r="L29" s="28">
        <f t="shared" si="5"/>
        <v>0</v>
      </c>
      <c r="N29" s="37"/>
      <c r="Q29" s="37"/>
      <c r="S29" s="38">
        <f t="shared" si="8"/>
        <v>0</v>
      </c>
    </row>
    <row r="30" spans="1:19" ht="15" thickTop="1" x14ac:dyDescent="0.35">
      <c r="A30" s="3" t="s">
        <v>25</v>
      </c>
      <c r="B30" s="4"/>
      <c r="C30" s="5">
        <f>1250</f>
        <v>1250</v>
      </c>
      <c r="D30" s="4"/>
      <c r="E30" s="5">
        <f t="shared" si="0"/>
        <v>1250</v>
      </c>
      <c r="F30" s="15">
        <f t="shared" si="1"/>
        <v>0</v>
      </c>
      <c r="G30" s="4">
        <f t="shared" si="2"/>
        <v>416.66666666666669</v>
      </c>
      <c r="H30" s="4">
        <f t="shared" si="3"/>
        <v>0</v>
      </c>
      <c r="I30" s="4">
        <f t="shared" si="9"/>
        <v>0</v>
      </c>
      <c r="J30" s="4">
        <f t="shared" si="6"/>
        <v>0</v>
      </c>
      <c r="K30" s="4">
        <f t="shared" si="5"/>
        <v>0</v>
      </c>
      <c r="L30" s="28">
        <v>0</v>
      </c>
      <c r="N30" s="41"/>
      <c r="O30" s="42"/>
      <c r="P30" s="42"/>
      <c r="Q30" s="45" t="str">
        <f>A151</f>
        <v xml:space="preserve">   Public Education</v>
      </c>
      <c r="R30" s="31">
        <f>L151</f>
        <v>21564.271046883703</v>
      </c>
      <c r="S30" s="38">
        <f t="shared" si="8"/>
        <v>0.20869784262488708</v>
      </c>
    </row>
    <row r="31" spans="1:19" hidden="1" x14ac:dyDescent="0.35">
      <c r="A31" s="3" t="s">
        <v>26</v>
      </c>
      <c r="B31" s="4"/>
      <c r="C31" s="5">
        <f>825</f>
        <v>825</v>
      </c>
      <c r="D31" s="7">
        <v>0</v>
      </c>
      <c r="E31" s="7">
        <v>0</v>
      </c>
      <c r="F31" s="15">
        <f t="shared" si="1"/>
        <v>0</v>
      </c>
      <c r="G31" s="5">
        <f t="shared" si="2"/>
        <v>0</v>
      </c>
      <c r="H31" s="5">
        <v>0</v>
      </c>
      <c r="I31" s="5">
        <f t="shared" si="9"/>
        <v>0</v>
      </c>
      <c r="J31" s="5">
        <f t="shared" si="6"/>
        <v>0</v>
      </c>
      <c r="K31" s="5">
        <f t="shared" si="5"/>
        <v>0</v>
      </c>
      <c r="L31" s="29">
        <f t="shared" si="5"/>
        <v>0</v>
      </c>
      <c r="Q31" s="37"/>
      <c r="S31" s="40"/>
    </row>
    <row r="32" spans="1:19" hidden="1" x14ac:dyDescent="0.35">
      <c r="A32" s="3" t="s">
        <v>27</v>
      </c>
      <c r="B32" s="4"/>
      <c r="C32" s="5">
        <f>145</f>
        <v>145</v>
      </c>
      <c r="D32" s="4"/>
      <c r="E32" s="7">
        <v>0</v>
      </c>
      <c r="F32" s="15">
        <f t="shared" si="1"/>
        <v>0</v>
      </c>
      <c r="G32" s="4">
        <f t="shared" si="2"/>
        <v>0</v>
      </c>
      <c r="H32" s="4">
        <f t="shared" si="3"/>
        <v>0</v>
      </c>
      <c r="I32" s="4">
        <f t="shared" si="9"/>
        <v>0</v>
      </c>
      <c r="J32" s="4">
        <f t="shared" si="6"/>
        <v>0</v>
      </c>
      <c r="K32" s="4">
        <f t="shared" si="5"/>
        <v>0</v>
      </c>
      <c r="L32" s="28">
        <f t="shared" si="5"/>
        <v>0</v>
      </c>
      <c r="Q32" s="37"/>
      <c r="S32" s="40"/>
    </row>
    <row r="33" spans="1:19" hidden="1" x14ac:dyDescent="0.35">
      <c r="A33" s="3" t="s">
        <v>26</v>
      </c>
      <c r="B33" s="6">
        <f>(B31)+(B32)</f>
        <v>0</v>
      </c>
      <c r="C33" s="6">
        <f>(C31)+(C32)</f>
        <v>970</v>
      </c>
      <c r="D33" s="6">
        <f>(D31)+(D32)</f>
        <v>0</v>
      </c>
      <c r="E33" s="6">
        <f t="shared" si="0"/>
        <v>970</v>
      </c>
      <c r="F33" s="15">
        <f t="shared" si="1"/>
        <v>0</v>
      </c>
      <c r="G33" s="6">
        <f t="shared" si="2"/>
        <v>323.33333333333331</v>
      </c>
      <c r="H33" s="6">
        <v>0</v>
      </c>
      <c r="I33" s="6">
        <f t="shared" si="9"/>
        <v>0</v>
      </c>
      <c r="J33" s="6">
        <f t="shared" si="6"/>
        <v>0</v>
      </c>
      <c r="K33" s="6">
        <f t="shared" si="5"/>
        <v>0</v>
      </c>
      <c r="L33" s="11">
        <f t="shared" si="5"/>
        <v>970</v>
      </c>
      <c r="Q33" s="37"/>
      <c r="S33" s="40"/>
    </row>
    <row r="34" spans="1:19" hidden="1" x14ac:dyDescent="0.35">
      <c r="A34" s="3" t="s">
        <v>29</v>
      </c>
      <c r="B34" s="5">
        <f>352.65</f>
        <v>352.65</v>
      </c>
      <c r="C34" s="4"/>
      <c r="D34" s="4"/>
      <c r="E34" s="5">
        <f t="shared" si="0"/>
        <v>352.65</v>
      </c>
      <c r="F34" s="15">
        <f t="shared" si="1"/>
        <v>0</v>
      </c>
      <c r="G34" s="4">
        <f t="shared" si="2"/>
        <v>117.55</v>
      </c>
      <c r="H34" s="4">
        <f t="shared" si="3"/>
        <v>0</v>
      </c>
      <c r="I34" s="4">
        <f t="shared" si="9"/>
        <v>0</v>
      </c>
      <c r="J34" s="4">
        <f t="shared" si="6"/>
        <v>0</v>
      </c>
      <c r="K34" s="4">
        <f t="shared" si="5"/>
        <v>0</v>
      </c>
      <c r="L34" s="28">
        <v>0</v>
      </c>
      <c r="Q34" s="37"/>
      <c r="S34" s="40"/>
    </row>
    <row r="35" spans="1:19" ht="15" thickBot="1" x14ac:dyDescent="0.4">
      <c r="A35" s="3" t="s">
        <v>30</v>
      </c>
      <c r="B35" s="4"/>
      <c r="C35" s="4"/>
      <c r="D35" s="5">
        <f>107+173</f>
        <v>280</v>
      </c>
      <c r="E35" s="5">
        <f t="shared" si="0"/>
        <v>280</v>
      </c>
      <c r="F35" s="15">
        <f t="shared" si="1"/>
        <v>0</v>
      </c>
      <c r="G35" s="5">
        <f t="shared" si="2"/>
        <v>93.333333333333329</v>
      </c>
      <c r="H35" s="5">
        <f t="shared" si="3"/>
        <v>0</v>
      </c>
      <c r="I35" s="5">
        <f t="shared" si="9"/>
        <v>280</v>
      </c>
      <c r="J35" s="5">
        <f t="shared" si="6"/>
        <v>280</v>
      </c>
      <c r="K35" s="5">
        <f t="shared" si="5"/>
        <v>280</v>
      </c>
      <c r="L35" s="29">
        <f>J35</f>
        <v>280</v>
      </c>
      <c r="Q35" s="37"/>
      <c r="R35" s="32">
        <f>SUM(R15:R30)</f>
        <v>103327.71424783372</v>
      </c>
      <c r="S35" s="39">
        <f>SUM(S15:S30)</f>
        <v>1</v>
      </c>
    </row>
    <row r="36" spans="1:19" ht="15" thickTop="1" x14ac:dyDescent="0.35">
      <c r="A36" s="3" t="s">
        <v>31</v>
      </c>
      <c r="B36" s="5">
        <f>6500</f>
        <v>6500</v>
      </c>
      <c r="C36" s="5">
        <f>12750</f>
        <v>12750</v>
      </c>
      <c r="D36" s="5">
        <f>12750</f>
        <v>12750</v>
      </c>
      <c r="E36" s="5">
        <f t="shared" si="0"/>
        <v>32000</v>
      </c>
      <c r="F36" s="15">
        <v>-0.3</v>
      </c>
      <c r="G36" s="5">
        <f t="shared" si="2"/>
        <v>10666.666666666666</v>
      </c>
      <c r="H36" s="5">
        <f t="shared" si="3"/>
        <v>16916.666666666977</v>
      </c>
      <c r="I36" s="5">
        <f t="shared" si="9"/>
        <v>8925</v>
      </c>
      <c r="J36" s="5">
        <f t="shared" si="6"/>
        <v>10837.5</v>
      </c>
      <c r="K36" s="5">
        <f t="shared" si="5"/>
        <v>12750</v>
      </c>
      <c r="L36" s="29">
        <f>D36</f>
        <v>12750</v>
      </c>
      <c r="Q36" s="41"/>
      <c r="R36" s="42"/>
      <c r="S36" s="43"/>
    </row>
    <row r="37" spans="1:19" x14ac:dyDescent="0.35">
      <c r="A37" s="3"/>
      <c r="B37" s="5">
        <f>770.62</f>
        <v>770.62</v>
      </c>
      <c r="C37" s="4"/>
      <c r="D37" s="4"/>
      <c r="E37" s="5">
        <f t="shared" si="0"/>
        <v>770.62</v>
      </c>
      <c r="F37" s="15">
        <f t="shared" si="1"/>
        <v>0</v>
      </c>
      <c r="G37" s="4">
        <f t="shared" si="2"/>
        <v>256.87333333333333</v>
      </c>
      <c r="H37" s="4">
        <f t="shared" si="3"/>
        <v>0</v>
      </c>
      <c r="I37" s="4">
        <f t="shared" si="9"/>
        <v>0</v>
      </c>
      <c r="J37" s="4">
        <f t="shared" si="6"/>
        <v>0</v>
      </c>
      <c r="K37" s="4">
        <f t="shared" si="5"/>
        <v>0</v>
      </c>
      <c r="L37" s="28">
        <v>0</v>
      </c>
    </row>
    <row r="38" spans="1:19" x14ac:dyDescent="0.35">
      <c r="A38" s="3" t="s">
        <v>14</v>
      </c>
      <c r="B38" s="6">
        <f>(((((((((((((((((((B16)+(B17))+(B18))+(B19))+(B20))+(B21))+(B22))+(B23))+(B24))+(B25))+(B26))+(B27))+(B28))+(B29))+(B30))+(B33))+(B34))+(B35))+(B36))+(B37)</f>
        <v>23950.71</v>
      </c>
      <c r="C38" s="6">
        <f>(((((((((((((((((((C16)+(C17))+(C18))+(C19))+(C20))+(C21))+(C22))+(C23))+(C24))+(C25))+(C26))+(C27))+(C28))+(C29))+(C30))+(C33))+(C34))+(C35))+(C36))+(C37)</f>
        <v>33016.990000000005</v>
      </c>
      <c r="D38" s="6">
        <f>(((((((((((((((((((D16)+(D17))+(D18))+(D19))+(D20))+(D21))+(D22))+(D23))+(D24))+(D25))+(D26))+(D27))+(D28))+(D29))+(D30))+(D33))+(D34))+(D35))+(D36))+(D37)</f>
        <v>26420</v>
      </c>
      <c r="E38" s="6">
        <f>((B38)+(C38))+(D38)</f>
        <v>83387.700000000012</v>
      </c>
      <c r="F38" s="15">
        <f t="shared" si="1"/>
        <v>0.10309882254012516</v>
      </c>
      <c r="G38" s="6">
        <f t="shared" si="2"/>
        <v>27795.900000000005</v>
      </c>
      <c r="H38" s="6">
        <f t="shared" si="3"/>
        <v>30265.189999999944</v>
      </c>
      <c r="I38" s="6">
        <f t="shared" si="9"/>
        <v>26420</v>
      </c>
      <c r="J38" s="6">
        <f t="shared" si="6"/>
        <v>26420</v>
      </c>
      <c r="K38" s="6">
        <f t="shared" si="5"/>
        <v>26420</v>
      </c>
      <c r="L38" s="11">
        <f>(((((((((((((((((((L16)+(L17))+(L18))+(L19))+(L20))+(L21))+(L22))+(L23))+(L24))+(L25))+(L26))+(L27))+(L28))+(L29))+(L30))+(L33))+(L34))+(L35))+(L36))+(L37)</f>
        <v>25300</v>
      </c>
    </row>
    <row r="39" spans="1:19" x14ac:dyDescent="0.35">
      <c r="A39" s="3" t="s">
        <v>34</v>
      </c>
      <c r="B39" s="4"/>
      <c r="C39" s="4"/>
      <c r="D39" s="4"/>
      <c r="E39" s="5">
        <f>((B39)+(C39))+(D39)</f>
        <v>0</v>
      </c>
      <c r="F39" s="15">
        <f t="shared" si="1"/>
        <v>0</v>
      </c>
      <c r="G39" s="4">
        <f t="shared" si="2"/>
        <v>0</v>
      </c>
      <c r="H39" s="4">
        <f t="shared" si="3"/>
        <v>0</v>
      </c>
      <c r="I39" s="4">
        <f t="shared" si="9"/>
        <v>0</v>
      </c>
      <c r="J39" s="4">
        <f t="shared" si="6"/>
        <v>0</v>
      </c>
      <c r="K39" s="4">
        <f t="shared" si="5"/>
        <v>0</v>
      </c>
      <c r="L39" s="28">
        <f t="shared" si="5"/>
        <v>0</v>
      </c>
    </row>
    <row r="40" spans="1:19" x14ac:dyDescent="0.35">
      <c r="A40" s="24" t="s">
        <v>172</v>
      </c>
      <c r="B40" s="4"/>
      <c r="C40" s="4"/>
      <c r="D40" s="4"/>
      <c r="E40" s="5">
        <f t="shared" ref="E40:E61" si="10">((B40)+(C40))+(D40)</f>
        <v>0</v>
      </c>
      <c r="F40" s="15">
        <f t="shared" si="1"/>
        <v>0</v>
      </c>
      <c r="G40" s="4">
        <f t="shared" si="2"/>
        <v>0</v>
      </c>
      <c r="H40" s="4">
        <f t="shared" si="3"/>
        <v>0</v>
      </c>
      <c r="I40" s="4">
        <v>10000</v>
      </c>
      <c r="J40" s="4">
        <v>10000</v>
      </c>
      <c r="K40" s="4">
        <v>10000</v>
      </c>
      <c r="L40" s="28">
        <v>10400</v>
      </c>
    </row>
    <row r="41" spans="1:19" x14ac:dyDescent="0.35">
      <c r="A41" s="3" t="s">
        <v>36</v>
      </c>
      <c r="B41" s="5">
        <f>20119.34</f>
        <v>20119.34</v>
      </c>
      <c r="C41" s="5">
        <f>23148.87</f>
        <v>23148.87</v>
      </c>
      <c r="D41" s="5">
        <f>13370.32+6000</f>
        <v>19370.32</v>
      </c>
      <c r="E41" s="5">
        <f t="shared" si="10"/>
        <v>62638.53</v>
      </c>
      <c r="F41" s="15">
        <f t="shared" si="1"/>
        <v>-3.7228855419710612E-2</v>
      </c>
      <c r="G41" s="5">
        <f t="shared" si="2"/>
        <v>20879.509999999998</v>
      </c>
      <c r="H41" s="5">
        <f t="shared" si="3"/>
        <v>20130.489999999991</v>
      </c>
      <c r="I41" s="5">
        <v>2000</v>
      </c>
      <c r="J41" s="5">
        <v>4000</v>
      </c>
      <c r="K41" s="5">
        <v>8000</v>
      </c>
      <c r="L41" s="29">
        <v>10000</v>
      </c>
    </row>
    <row r="42" spans="1:19" x14ac:dyDescent="0.35">
      <c r="A42" s="3" t="s">
        <v>35</v>
      </c>
      <c r="B42" s="6">
        <f>(B40)+(B41)</f>
        <v>20119.34</v>
      </c>
      <c r="C42" s="6">
        <f>(C40)+(C41)</f>
        <v>23148.87</v>
      </c>
      <c r="D42" s="6">
        <f>(D40)+(D41)</f>
        <v>19370.32</v>
      </c>
      <c r="E42" s="6">
        <f t="shared" si="10"/>
        <v>62638.53</v>
      </c>
      <c r="F42" s="15">
        <f t="shared" si="1"/>
        <v>-3.7228855419710612E-2</v>
      </c>
      <c r="G42" s="6">
        <f t="shared" si="2"/>
        <v>20879.509999999998</v>
      </c>
      <c r="H42" s="6">
        <f t="shared" si="3"/>
        <v>20130.489999999991</v>
      </c>
      <c r="I42" s="6">
        <f t="shared" si="9"/>
        <v>18649.185157286469</v>
      </c>
      <c r="J42" s="6">
        <f t="shared" si="6"/>
        <v>19009.752578643234</v>
      </c>
      <c r="K42" s="6">
        <f t="shared" si="5"/>
        <v>19370.32</v>
      </c>
      <c r="L42" s="11">
        <f>(L40)+(L41)</f>
        <v>20400</v>
      </c>
    </row>
    <row r="43" spans="1:19" x14ac:dyDescent="0.35">
      <c r="A43" s="3" t="s">
        <v>34</v>
      </c>
      <c r="B43" s="6">
        <f>(B39)+(B42)</f>
        <v>20119.34</v>
      </c>
      <c r="C43" s="6">
        <f>(C39)+(C42)</f>
        <v>23148.87</v>
      </c>
      <c r="D43" s="6">
        <f>(D39)+(D42)</f>
        <v>19370.32</v>
      </c>
      <c r="E43" s="6">
        <f t="shared" si="10"/>
        <v>62638.53</v>
      </c>
      <c r="F43" s="15">
        <f t="shared" si="1"/>
        <v>-3.7228855419710612E-2</v>
      </c>
      <c r="G43" s="6">
        <f t="shared" si="2"/>
        <v>20879.509999999998</v>
      </c>
      <c r="H43" s="6">
        <f t="shared" si="3"/>
        <v>20130.489999999991</v>
      </c>
      <c r="I43" s="6">
        <f t="shared" si="9"/>
        <v>18649.185157286469</v>
      </c>
      <c r="J43" s="6">
        <f t="shared" si="6"/>
        <v>19009.752578643234</v>
      </c>
      <c r="K43" s="6">
        <f t="shared" si="5"/>
        <v>19370.32</v>
      </c>
      <c r="L43" s="11">
        <f>(L39)+(L42)</f>
        <v>20400</v>
      </c>
    </row>
    <row r="44" spans="1:19" hidden="1" x14ac:dyDescent="0.35">
      <c r="A44" s="3" t="s">
        <v>39</v>
      </c>
      <c r="B44" s="4"/>
      <c r="C44" s="4"/>
      <c r="D44" s="4"/>
      <c r="E44" s="5">
        <f t="shared" si="10"/>
        <v>0</v>
      </c>
      <c r="F44" s="15">
        <f t="shared" si="1"/>
        <v>0</v>
      </c>
      <c r="G44" s="4">
        <f t="shared" si="2"/>
        <v>0</v>
      </c>
      <c r="H44" s="4">
        <f t="shared" si="3"/>
        <v>0</v>
      </c>
      <c r="I44" s="4">
        <f t="shared" si="9"/>
        <v>0</v>
      </c>
      <c r="J44" s="4">
        <f t="shared" si="6"/>
        <v>0</v>
      </c>
      <c r="K44" s="4">
        <f t="shared" si="5"/>
        <v>0</v>
      </c>
      <c r="L44" s="28">
        <f t="shared" si="5"/>
        <v>0</v>
      </c>
    </row>
    <row r="45" spans="1:19" ht="22" x14ac:dyDescent="0.35">
      <c r="A45" s="3" t="s">
        <v>40</v>
      </c>
      <c r="B45" s="5">
        <f>340.47</f>
        <v>340.47</v>
      </c>
      <c r="C45" s="5">
        <f>210.38</f>
        <v>210.38</v>
      </c>
      <c r="D45" s="5">
        <f>93.76</f>
        <v>93.76</v>
      </c>
      <c r="E45" s="5">
        <f t="shared" si="10"/>
        <v>644.61</v>
      </c>
      <c r="F45" s="15">
        <f t="shared" si="1"/>
        <v>-0.72461597203865247</v>
      </c>
      <c r="G45" s="5">
        <f t="shared" si="2"/>
        <v>214.87</v>
      </c>
      <c r="H45" s="5">
        <f t="shared" si="3"/>
        <v>-31.839999999996508</v>
      </c>
      <c r="I45" s="5">
        <f t="shared" si="9"/>
        <v>25.820006461655947</v>
      </c>
      <c r="J45" s="5">
        <f t="shared" si="6"/>
        <v>59.790003230827978</v>
      </c>
      <c r="K45" s="5">
        <f t="shared" si="5"/>
        <v>93.76</v>
      </c>
      <c r="L45" s="29">
        <f>I45</f>
        <v>25.820006461655947</v>
      </c>
    </row>
    <row r="46" spans="1:19" x14ac:dyDescent="0.35">
      <c r="A46" s="3" t="s">
        <v>39</v>
      </c>
      <c r="B46" s="6">
        <f>(B44)+(B45)</f>
        <v>340.47</v>
      </c>
      <c r="C46" s="6">
        <f>(C44)+(C45)</f>
        <v>210.38</v>
      </c>
      <c r="D46" s="6">
        <f>(D44)+(D45)</f>
        <v>93.76</v>
      </c>
      <c r="E46" s="6">
        <f t="shared" si="10"/>
        <v>644.61</v>
      </c>
      <c r="F46" s="15">
        <f t="shared" si="1"/>
        <v>-0.72461597203865247</v>
      </c>
      <c r="G46" s="6">
        <f t="shared" si="2"/>
        <v>214.87</v>
      </c>
      <c r="H46" s="6">
        <f t="shared" si="3"/>
        <v>-31.839999999996508</v>
      </c>
      <c r="I46" s="6">
        <f t="shared" si="9"/>
        <v>25.820006461655947</v>
      </c>
      <c r="J46" s="6">
        <f t="shared" si="6"/>
        <v>59.790003230827978</v>
      </c>
      <c r="K46" s="6">
        <f t="shared" si="5"/>
        <v>93.76</v>
      </c>
      <c r="L46" s="11">
        <f t="shared" si="5"/>
        <v>644.61</v>
      </c>
    </row>
    <row r="47" spans="1:19" hidden="1" x14ac:dyDescent="0.35">
      <c r="A47" s="3" t="s">
        <v>42</v>
      </c>
      <c r="B47" s="4"/>
      <c r="C47" s="5">
        <f>-250</f>
        <v>-250</v>
      </c>
      <c r="D47" s="4"/>
      <c r="E47" s="5">
        <f t="shared" si="10"/>
        <v>-250</v>
      </c>
      <c r="F47" s="15">
        <f t="shared" si="1"/>
        <v>0</v>
      </c>
      <c r="G47" s="4">
        <f t="shared" si="2"/>
        <v>-83.333333333333329</v>
      </c>
      <c r="H47" s="4">
        <f t="shared" si="3"/>
        <v>0</v>
      </c>
      <c r="I47" s="4">
        <f t="shared" si="9"/>
        <v>0</v>
      </c>
      <c r="J47" s="4">
        <f t="shared" si="6"/>
        <v>0</v>
      </c>
      <c r="K47" s="4">
        <f t="shared" si="5"/>
        <v>0</v>
      </c>
      <c r="L47" s="28">
        <v>0</v>
      </c>
    </row>
    <row r="48" spans="1:19" x14ac:dyDescent="0.35">
      <c r="A48" s="3" t="s">
        <v>156</v>
      </c>
      <c r="B48" s="5">
        <f>25</f>
        <v>25</v>
      </c>
      <c r="C48" s="5">
        <f>70</f>
        <v>70</v>
      </c>
      <c r="D48" s="4"/>
      <c r="E48" s="5">
        <f t="shared" si="10"/>
        <v>95</v>
      </c>
      <c r="F48" s="15">
        <f t="shared" si="1"/>
        <v>0</v>
      </c>
      <c r="G48" s="4">
        <f t="shared" si="2"/>
        <v>31.666666666666668</v>
      </c>
      <c r="H48" s="4">
        <f t="shared" si="3"/>
        <v>160</v>
      </c>
      <c r="I48" s="4">
        <f t="shared" si="9"/>
        <v>0</v>
      </c>
      <c r="J48" s="4">
        <f t="shared" si="6"/>
        <v>0</v>
      </c>
      <c r="K48" s="4">
        <f t="shared" si="5"/>
        <v>0</v>
      </c>
      <c r="L48" s="28">
        <v>0</v>
      </c>
    </row>
    <row r="49" spans="1:13" x14ac:dyDescent="0.35">
      <c r="A49" s="3" t="s">
        <v>157</v>
      </c>
      <c r="B49" s="5">
        <f>9945</f>
        <v>9945</v>
      </c>
      <c r="C49" s="5">
        <f>6355</f>
        <v>6355</v>
      </c>
      <c r="D49" s="5">
        <f>8060</f>
        <v>8060</v>
      </c>
      <c r="E49" s="5">
        <f t="shared" si="10"/>
        <v>24360</v>
      </c>
      <c r="F49" s="15">
        <f t="shared" si="1"/>
        <v>-0.18954248366013071</v>
      </c>
      <c r="G49" s="5">
        <f t="shared" si="2"/>
        <v>8120</v>
      </c>
      <c r="H49" s="5">
        <f t="shared" si="3"/>
        <v>6235</v>
      </c>
      <c r="I49" s="5">
        <f t="shared" si="9"/>
        <v>6532.2875816993464</v>
      </c>
      <c r="J49" s="5">
        <f t="shared" si="6"/>
        <v>7296.1437908496737</v>
      </c>
      <c r="K49" s="5">
        <f t="shared" si="5"/>
        <v>8060</v>
      </c>
      <c r="L49" s="29">
        <f>J49</f>
        <v>7296.1437908496737</v>
      </c>
    </row>
    <row r="50" spans="1:13" x14ac:dyDescent="0.35">
      <c r="A50" s="3" t="s">
        <v>158</v>
      </c>
      <c r="B50" s="5">
        <f>14457.5</f>
        <v>14457.5</v>
      </c>
      <c r="C50" s="5">
        <f>9039.87</f>
        <v>9039.8700000000008</v>
      </c>
      <c r="D50" s="5">
        <f>4570</f>
        <v>4570</v>
      </c>
      <c r="E50" s="5">
        <f t="shared" si="10"/>
        <v>28067.370000000003</v>
      </c>
      <c r="F50" s="15">
        <f t="shared" si="1"/>
        <v>-0.68390108939996541</v>
      </c>
      <c r="G50" s="5">
        <f t="shared" si="2"/>
        <v>9355.7900000000009</v>
      </c>
      <c r="H50" s="5">
        <f t="shared" si="3"/>
        <v>-531.71000000089407</v>
      </c>
      <c r="I50" s="5">
        <f t="shared" si="9"/>
        <v>1444.5720214421581</v>
      </c>
      <c r="J50" s="5">
        <f t="shared" si="6"/>
        <v>3007.2860107210795</v>
      </c>
      <c r="K50" s="5">
        <f t="shared" si="5"/>
        <v>4570</v>
      </c>
      <c r="L50" s="29">
        <f>J50</f>
        <v>3007.2860107210795</v>
      </c>
    </row>
    <row r="51" spans="1:13" x14ac:dyDescent="0.35">
      <c r="A51" s="3" t="s">
        <v>159</v>
      </c>
      <c r="B51" s="5">
        <f>25</f>
        <v>25</v>
      </c>
      <c r="C51" s="5"/>
      <c r="D51" s="5"/>
      <c r="E51" s="5">
        <f t="shared" si="10"/>
        <v>25</v>
      </c>
      <c r="F51" s="15">
        <f t="shared" si="1"/>
        <v>0</v>
      </c>
      <c r="G51" s="5">
        <f t="shared" si="2"/>
        <v>8.3333333333333339</v>
      </c>
      <c r="H51" s="5">
        <f t="shared" si="3"/>
        <v>0</v>
      </c>
      <c r="I51" s="5">
        <f t="shared" si="9"/>
        <v>0</v>
      </c>
      <c r="J51" s="5">
        <f t="shared" si="6"/>
        <v>0</v>
      </c>
      <c r="K51" s="5">
        <f t="shared" si="5"/>
        <v>0</v>
      </c>
      <c r="L51" s="29">
        <v>0</v>
      </c>
    </row>
    <row r="52" spans="1:13" hidden="1" x14ac:dyDescent="0.35">
      <c r="A52" s="3" t="s">
        <v>43</v>
      </c>
      <c r="B52" s="4"/>
      <c r="C52" s="4"/>
      <c r="D52" s="5"/>
      <c r="E52" s="5">
        <f t="shared" si="10"/>
        <v>0</v>
      </c>
      <c r="F52" s="15">
        <f t="shared" si="1"/>
        <v>0</v>
      </c>
      <c r="G52" s="5">
        <f t="shared" si="2"/>
        <v>0</v>
      </c>
      <c r="H52" s="5">
        <f t="shared" si="3"/>
        <v>0</v>
      </c>
      <c r="I52" s="5">
        <f t="shared" si="9"/>
        <v>0</v>
      </c>
      <c r="J52" s="5">
        <f t="shared" si="6"/>
        <v>0</v>
      </c>
      <c r="K52" s="5">
        <f t="shared" si="5"/>
        <v>0</v>
      </c>
      <c r="L52" s="29">
        <f t="shared" si="5"/>
        <v>0</v>
      </c>
    </row>
    <row r="53" spans="1:13" x14ac:dyDescent="0.35">
      <c r="A53" s="3" t="s">
        <v>44</v>
      </c>
      <c r="B53" s="5">
        <f>20000</f>
        <v>20000</v>
      </c>
      <c r="C53" s="5">
        <f>7265</f>
        <v>7265</v>
      </c>
      <c r="D53" s="5">
        <f>800</f>
        <v>800</v>
      </c>
      <c r="E53" s="5">
        <f t="shared" si="10"/>
        <v>28065</v>
      </c>
      <c r="F53" s="15">
        <f t="shared" si="1"/>
        <v>-0.96</v>
      </c>
      <c r="G53" s="5">
        <f t="shared" si="2"/>
        <v>9355</v>
      </c>
      <c r="H53" s="20">
        <v>0</v>
      </c>
      <c r="I53" s="20">
        <v>0</v>
      </c>
      <c r="J53" s="20">
        <v>0</v>
      </c>
      <c r="K53" s="20">
        <v>0</v>
      </c>
      <c r="L53" s="29">
        <v>0</v>
      </c>
    </row>
    <row r="54" spans="1:13" x14ac:dyDescent="0.35">
      <c r="A54" s="3" t="s">
        <v>42</v>
      </c>
      <c r="B54" s="6">
        <f>((((((B47)+(B48))+(B49))+(B50))+(B51))+(B52))+(B53)</f>
        <v>44452.5</v>
      </c>
      <c r="C54" s="6">
        <f>((((((C47)+(C48))+(C49))+(C50))+(C51))+(C52))+(C53)</f>
        <v>22479.870000000003</v>
      </c>
      <c r="D54" s="6">
        <f>((((((D47)+(D48))+(D49))+(D50))+(D51))+(D52))+(D53)</f>
        <v>13430</v>
      </c>
      <c r="E54" s="6">
        <f t="shared" si="10"/>
        <v>80362.37</v>
      </c>
      <c r="F54" s="15">
        <f t="shared" si="1"/>
        <v>-0.697879759293628</v>
      </c>
      <c r="G54" s="6">
        <f t="shared" si="2"/>
        <v>26787.456666666665</v>
      </c>
      <c r="H54" s="6">
        <f t="shared" si="3"/>
        <v>-4235.0433333329856</v>
      </c>
      <c r="I54" s="6">
        <f t="shared" si="9"/>
        <v>4057.4748326865761</v>
      </c>
      <c r="J54" s="6">
        <f t="shared" si="6"/>
        <v>8743.7374163432887</v>
      </c>
      <c r="K54" s="6">
        <f t="shared" si="5"/>
        <v>13430</v>
      </c>
      <c r="L54" s="11">
        <f>((((((L47)+(L48))+(L49))+(L50))+(L51))+(L52))+(L53)</f>
        <v>10303.429801570754</v>
      </c>
    </row>
    <row r="55" spans="1:13" x14ac:dyDescent="0.35">
      <c r="A55" s="3" t="s">
        <v>46</v>
      </c>
      <c r="B55" s="4"/>
      <c r="C55" s="5">
        <f>0.06</f>
        <v>0.06</v>
      </c>
      <c r="D55" s="4"/>
      <c r="E55" s="5">
        <f t="shared" si="10"/>
        <v>0.06</v>
      </c>
      <c r="F55" s="15">
        <f t="shared" si="1"/>
        <v>0</v>
      </c>
      <c r="G55" s="4">
        <f t="shared" si="2"/>
        <v>0.02</v>
      </c>
      <c r="H55" s="4">
        <f t="shared" si="3"/>
        <v>0</v>
      </c>
      <c r="I55" s="4">
        <f t="shared" si="9"/>
        <v>0</v>
      </c>
      <c r="J55" s="4">
        <f t="shared" si="6"/>
        <v>0</v>
      </c>
      <c r="K55" s="4">
        <f t="shared" si="5"/>
        <v>0</v>
      </c>
      <c r="L55" s="28">
        <f t="shared" si="5"/>
        <v>0.06</v>
      </c>
    </row>
    <row r="56" spans="1:13" x14ac:dyDescent="0.35">
      <c r="A56" s="3" t="s">
        <v>47</v>
      </c>
      <c r="B56" s="5">
        <f>5029.24</f>
        <v>5029.24</v>
      </c>
      <c r="C56" s="5">
        <f>655.55</f>
        <v>655.55</v>
      </c>
      <c r="D56" s="5">
        <f>4992.01</f>
        <v>4992.01</v>
      </c>
      <c r="E56" s="5">
        <f t="shared" si="10"/>
        <v>10676.8</v>
      </c>
      <c r="F56" s="15">
        <f t="shared" si="1"/>
        <v>-7.4027089580134507E-3</v>
      </c>
      <c r="G56" s="5">
        <f t="shared" si="2"/>
        <v>3558.9333333333329</v>
      </c>
      <c r="H56" s="5">
        <f t="shared" si="3"/>
        <v>3521.7033333333384</v>
      </c>
      <c r="I56" s="5">
        <f t="shared" si="9"/>
        <v>4955.0556028545079</v>
      </c>
      <c r="J56" s="5">
        <f t="shared" si="6"/>
        <v>4973.5328014272536</v>
      </c>
      <c r="K56" s="5">
        <f t="shared" si="5"/>
        <v>4992.01</v>
      </c>
      <c r="L56" s="29">
        <v>1000</v>
      </c>
    </row>
    <row r="57" spans="1:13" x14ac:dyDescent="0.35">
      <c r="A57" s="3" t="s">
        <v>46</v>
      </c>
      <c r="B57" s="6">
        <f>(B55)+(B56)</f>
        <v>5029.24</v>
      </c>
      <c r="C57" s="6">
        <f>(C55)+(C56)</f>
        <v>655.6099999999999</v>
      </c>
      <c r="D57" s="6">
        <f>(D55)+(D56)</f>
        <v>4992.01</v>
      </c>
      <c r="E57" s="6">
        <f t="shared" si="10"/>
        <v>10676.86</v>
      </c>
      <c r="F57" s="15">
        <f t="shared" si="1"/>
        <v>-7.4027089580134507E-3</v>
      </c>
      <c r="G57" s="6">
        <f t="shared" si="2"/>
        <v>3558.9533333333334</v>
      </c>
      <c r="H57" s="6">
        <f t="shared" si="3"/>
        <v>3521.7233333333352</v>
      </c>
      <c r="I57" s="6">
        <f t="shared" si="9"/>
        <v>4955.0556028545079</v>
      </c>
      <c r="J57" s="6">
        <f t="shared" si="6"/>
        <v>4973.5328014272536</v>
      </c>
      <c r="K57" s="6">
        <f t="shared" si="5"/>
        <v>4992.01</v>
      </c>
      <c r="L57" s="11">
        <f>I57</f>
        <v>4955.0556028545079</v>
      </c>
    </row>
    <row r="58" spans="1:13" x14ac:dyDescent="0.35">
      <c r="A58" s="3" t="s">
        <v>49</v>
      </c>
      <c r="B58" s="4"/>
      <c r="C58" s="5">
        <f>8581.28</f>
        <v>8581.2800000000007</v>
      </c>
      <c r="D58" s="5">
        <f>2618.95</f>
        <v>2618.9499999999998</v>
      </c>
      <c r="E58" s="5">
        <f t="shared" si="10"/>
        <v>11200.23</v>
      </c>
      <c r="F58" s="15">
        <f t="shared" si="1"/>
        <v>0</v>
      </c>
      <c r="G58" s="5">
        <f t="shared" si="2"/>
        <v>3733.41</v>
      </c>
      <c r="H58" s="5">
        <v>1200</v>
      </c>
      <c r="I58" s="5">
        <f t="shared" si="9"/>
        <v>2618.9499999999998</v>
      </c>
      <c r="J58" s="5">
        <f t="shared" si="6"/>
        <v>2618.9499999999998</v>
      </c>
      <c r="K58" s="5">
        <v>0</v>
      </c>
      <c r="L58" s="29">
        <v>0</v>
      </c>
    </row>
    <row r="59" spans="1:13" x14ac:dyDescent="0.35">
      <c r="A59" s="3" t="s">
        <v>179</v>
      </c>
      <c r="B59" s="5">
        <f>265</f>
        <v>265</v>
      </c>
      <c r="C59" s="5">
        <f>1105</f>
        <v>1105</v>
      </c>
      <c r="D59" s="5">
        <f>-1215</f>
        <v>-1215</v>
      </c>
      <c r="E59" s="5">
        <f t="shared" si="10"/>
        <v>155</v>
      </c>
      <c r="F59" s="15">
        <f t="shared" si="1"/>
        <v>-5.5849056603773581</v>
      </c>
      <c r="G59" s="5">
        <f t="shared" si="2"/>
        <v>51.666666666666664</v>
      </c>
      <c r="H59" s="5">
        <v>0</v>
      </c>
      <c r="I59" s="5">
        <v>0</v>
      </c>
      <c r="J59" s="5">
        <v>0</v>
      </c>
      <c r="K59" s="5">
        <v>0</v>
      </c>
      <c r="L59" s="29">
        <v>0</v>
      </c>
    </row>
    <row r="60" spans="1:13" x14ac:dyDescent="0.35">
      <c r="A60" s="3" t="s">
        <v>4</v>
      </c>
      <c r="B60" s="6">
        <f>((((((((B9)+(B15))+(B38))+(B43))+(B46))+(B54))+(B57))+(B58))+(B59)</f>
        <v>165661.16999999998</v>
      </c>
      <c r="C60" s="6">
        <f>((((((((C9)+(C15))+(C38))+(C43))+(C46))+(C54))+(C57))+(C58))+(C59)</f>
        <v>151530.75999999998</v>
      </c>
      <c r="D60" s="6">
        <f>((((((((D9)+(D15))+(D38))+(D43))+(D46))+(D54))+(D57))+(D58))+(D59)</f>
        <v>115716.20999999998</v>
      </c>
      <c r="E60" s="6">
        <f t="shared" si="10"/>
        <v>432908.1399999999</v>
      </c>
      <c r="F60" s="15">
        <f t="shared" si="1"/>
        <v>-0.30148863490460687</v>
      </c>
      <c r="G60" s="6">
        <f t="shared" si="2"/>
        <v>144302.71333333329</v>
      </c>
      <c r="H60" s="6">
        <f t="shared" si="3"/>
        <v>94357.753333330154</v>
      </c>
      <c r="I60" s="6">
        <f t="shared" si="9"/>
        <v>80829.087810765166</v>
      </c>
      <c r="J60" s="6">
        <f t="shared" si="6"/>
        <v>98272.648905382564</v>
      </c>
      <c r="K60" s="6">
        <f t="shared" si="5"/>
        <v>115716.20999999998</v>
      </c>
      <c r="L60" s="11">
        <f>((((((((L9)+(L15))+(L38))+(L43))+(L46))+(L54))+(L57))+(L58))+(L59)</f>
        <v>105536.52176636564</v>
      </c>
      <c r="M60" s="30"/>
    </row>
    <row r="61" spans="1:13" x14ac:dyDescent="0.35">
      <c r="A61" s="10" t="s">
        <v>52</v>
      </c>
      <c r="B61" s="11">
        <f>(B60)-(0)</f>
        <v>165661.16999999998</v>
      </c>
      <c r="C61" s="11">
        <f>(C60)-(0)</f>
        <v>151530.75999999998</v>
      </c>
      <c r="D61" s="11">
        <f>(D60)-(0)</f>
        <v>115716.20999999998</v>
      </c>
      <c r="E61" s="11">
        <f t="shared" si="10"/>
        <v>432908.1399999999</v>
      </c>
      <c r="F61" s="16">
        <f t="shared" si="1"/>
        <v>-0.30148863490460687</v>
      </c>
      <c r="G61" s="11">
        <f t="shared" si="2"/>
        <v>144302.71333333329</v>
      </c>
      <c r="H61" s="11">
        <f t="shared" si="3"/>
        <v>94357.753333330154</v>
      </c>
      <c r="I61" s="11">
        <f t="shared" si="9"/>
        <v>80829.087810765166</v>
      </c>
      <c r="J61" s="11">
        <f t="shared" si="6"/>
        <v>98272.648905382564</v>
      </c>
      <c r="K61" s="11">
        <f t="shared" si="5"/>
        <v>115716.20999999998</v>
      </c>
      <c r="L61" s="11">
        <f>(L60)-(0)</f>
        <v>105536.52176636564</v>
      </c>
    </row>
    <row r="62" spans="1:13" x14ac:dyDescent="0.35">
      <c r="A62" s="3" t="s">
        <v>53</v>
      </c>
      <c r="B62" s="4"/>
      <c r="C62" s="4"/>
      <c r="D62" s="4"/>
      <c r="E62" s="4"/>
      <c r="F62" s="15">
        <f t="shared" si="1"/>
        <v>0</v>
      </c>
      <c r="G62" s="4">
        <f t="shared" si="2"/>
        <v>0</v>
      </c>
      <c r="H62" s="4">
        <f t="shared" si="3"/>
        <v>0</v>
      </c>
      <c r="I62" s="4">
        <f t="shared" si="9"/>
        <v>0</v>
      </c>
      <c r="J62" s="4">
        <f t="shared" si="6"/>
        <v>0</v>
      </c>
      <c r="K62" s="4">
        <f t="shared" ref="K62:L125" si="11">D62</f>
        <v>0</v>
      </c>
      <c r="L62" s="28">
        <f t="shared" si="11"/>
        <v>0</v>
      </c>
    </row>
    <row r="63" spans="1:13" x14ac:dyDescent="0.35">
      <c r="A63" s="3" t="s">
        <v>54</v>
      </c>
      <c r="B63" s="5">
        <f>288.24</f>
        <v>288.24</v>
      </c>
      <c r="C63" s="5">
        <f>326.96</f>
        <v>326.95999999999998</v>
      </c>
      <c r="D63" s="4"/>
      <c r="E63" s="5">
        <f t="shared" ref="E63:E126" si="12">((B63)+(C63))+(D63)</f>
        <v>615.20000000000005</v>
      </c>
      <c r="F63" s="15">
        <f t="shared" si="1"/>
        <v>0</v>
      </c>
      <c r="G63" s="4">
        <f t="shared" si="2"/>
        <v>205.06666666666669</v>
      </c>
      <c r="H63" s="4">
        <f t="shared" si="3"/>
        <v>404.40000000000873</v>
      </c>
      <c r="I63" s="4">
        <f t="shared" si="9"/>
        <v>0</v>
      </c>
      <c r="J63" s="4">
        <f t="shared" si="6"/>
        <v>0</v>
      </c>
      <c r="K63" s="4">
        <f t="shared" si="11"/>
        <v>0</v>
      </c>
      <c r="L63" s="28">
        <v>0</v>
      </c>
    </row>
    <row r="64" spans="1:13" x14ac:dyDescent="0.35">
      <c r="A64" s="3" t="s">
        <v>55</v>
      </c>
      <c r="B64" s="5">
        <f>100</f>
        <v>100</v>
      </c>
      <c r="C64" s="5">
        <f>454.28</f>
        <v>454.28</v>
      </c>
      <c r="D64" s="4"/>
      <c r="E64" s="5">
        <f t="shared" si="12"/>
        <v>554.28</v>
      </c>
      <c r="F64" s="15">
        <f t="shared" si="1"/>
        <v>0</v>
      </c>
      <c r="G64" s="4">
        <f t="shared" si="2"/>
        <v>184.76</v>
      </c>
      <c r="H64" s="4">
        <f t="shared" si="3"/>
        <v>1162.8399999999674</v>
      </c>
      <c r="I64" s="4">
        <f t="shared" si="9"/>
        <v>0</v>
      </c>
      <c r="J64" s="4">
        <f t="shared" si="6"/>
        <v>0</v>
      </c>
      <c r="K64" s="4">
        <f t="shared" si="11"/>
        <v>0</v>
      </c>
      <c r="L64" s="28">
        <f t="shared" si="11"/>
        <v>554.28</v>
      </c>
    </row>
    <row r="65" spans="1:12" x14ac:dyDescent="0.35">
      <c r="A65" s="3" t="s">
        <v>56</v>
      </c>
      <c r="B65" s="5">
        <f>6878.62</f>
        <v>6878.62</v>
      </c>
      <c r="C65" s="5">
        <f>4704.86</f>
        <v>4704.8599999999997</v>
      </c>
      <c r="D65" s="5">
        <f>125</f>
        <v>125</v>
      </c>
      <c r="E65" s="5">
        <f t="shared" si="12"/>
        <v>11708.48</v>
      </c>
      <c r="F65" s="15">
        <f t="shared" si="1"/>
        <v>-0.98182775033364256</v>
      </c>
      <c r="G65" s="5">
        <f t="shared" si="2"/>
        <v>3902.8266666666664</v>
      </c>
      <c r="H65" s="5">
        <v>0</v>
      </c>
      <c r="I65" s="5">
        <f t="shared" si="9"/>
        <v>2.2715312082946806</v>
      </c>
      <c r="J65" s="5">
        <f t="shared" si="6"/>
        <v>63.635765604147338</v>
      </c>
      <c r="K65" s="5">
        <f t="shared" si="11"/>
        <v>125</v>
      </c>
      <c r="L65" s="29">
        <f>J65</f>
        <v>63.635765604147338</v>
      </c>
    </row>
    <row r="66" spans="1:12" x14ac:dyDescent="0.35">
      <c r="A66" s="3" t="s">
        <v>57</v>
      </c>
      <c r="B66" s="5">
        <f>1426.73</f>
        <v>1426.73</v>
      </c>
      <c r="C66" s="5">
        <f>847.35</f>
        <v>847.35</v>
      </c>
      <c r="D66" s="4"/>
      <c r="E66" s="5">
        <f t="shared" si="12"/>
        <v>2274.08</v>
      </c>
      <c r="F66" s="15">
        <f t="shared" si="1"/>
        <v>0</v>
      </c>
      <c r="G66" s="4">
        <f t="shared" si="2"/>
        <v>758.02666666666664</v>
      </c>
      <c r="H66" s="4">
        <v>0</v>
      </c>
      <c r="I66" s="4">
        <f t="shared" si="9"/>
        <v>0</v>
      </c>
      <c r="J66" s="4">
        <f t="shared" si="6"/>
        <v>0</v>
      </c>
      <c r="K66" s="4">
        <f t="shared" si="11"/>
        <v>0</v>
      </c>
      <c r="L66" s="28">
        <v>0</v>
      </c>
    </row>
    <row r="67" spans="1:12" x14ac:dyDescent="0.35">
      <c r="A67" s="3" t="s">
        <v>58</v>
      </c>
      <c r="B67" s="5">
        <f>2189.58</f>
        <v>2189.58</v>
      </c>
      <c r="C67" s="5">
        <f>2761.55</f>
        <v>2761.55</v>
      </c>
      <c r="D67" s="5">
        <f>1075.65</f>
        <v>1075.6500000000001</v>
      </c>
      <c r="E67" s="5">
        <f t="shared" si="12"/>
        <v>6026.7800000000007</v>
      </c>
      <c r="F67" s="15">
        <f t="shared" si="1"/>
        <v>-0.50874140246074584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29">
        <v>0</v>
      </c>
    </row>
    <row r="68" spans="1:12" x14ac:dyDescent="0.35">
      <c r="A68" s="3" t="s">
        <v>59</v>
      </c>
      <c r="B68" s="5">
        <f>409.42</f>
        <v>409.42</v>
      </c>
      <c r="C68" s="5">
        <f>142.68</f>
        <v>142.68</v>
      </c>
      <c r="D68" s="5">
        <f>1.24</f>
        <v>1.24</v>
      </c>
      <c r="E68" s="5">
        <f t="shared" si="12"/>
        <v>553.34</v>
      </c>
      <c r="F68" s="15">
        <f t="shared" si="1"/>
        <v>-0.99697132528943377</v>
      </c>
      <c r="G68" s="5">
        <f t="shared" si="2"/>
        <v>184.44666666666669</v>
      </c>
      <c r="H68" s="5">
        <v>0</v>
      </c>
      <c r="I68" s="5">
        <f t="shared" si="9"/>
        <v>3.7555566411021203E-3</v>
      </c>
      <c r="J68" s="5">
        <f t="shared" si="6"/>
        <v>0.62187777832055102</v>
      </c>
      <c r="K68" s="5">
        <f t="shared" si="11"/>
        <v>1.24</v>
      </c>
      <c r="L68" s="29">
        <v>0</v>
      </c>
    </row>
    <row r="69" spans="1:12" x14ac:dyDescent="0.35">
      <c r="A69" s="3" t="s">
        <v>60</v>
      </c>
      <c r="B69" s="4"/>
      <c r="C69" s="4"/>
      <c r="D69" s="5">
        <f>1022.15</f>
        <v>1022.15</v>
      </c>
      <c r="E69" s="5">
        <f t="shared" si="12"/>
        <v>1022.15</v>
      </c>
      <c r="F69" s="15">
        <v>-0.3</v>
      </c>
      <c r="G69" s="5">
        <f t="shared" si="2"/>
        <v>340.71666666666664</v>
      </c>
      <c r="H69" s="5">
        <f t="shared" si="3"/>
        <v>0</v>
      </c>
      <c r="I69" s="5">
        <f t="shared" si="9"/>
        <v>715.505</v>
      </c>
      <c r="J69" s="5">
        <f t="shared" si="6"/>
        <v>868.82749999999999</v>
      </c>
      <c r="K69" s="5">
        <f t="shared" si="11"/>
        <v>1022.15</v>
      </c>
      <c r="L69" s="29">
        <v>1800</v>
      </c>
    </row>
    <row r="70" spans="1:12" x14ac:dyDescent="0.35">
      <c r="A70" s="3" t="s">
        <v>61</v>
      </c>
      <c r="B70" s="5">
        <f>10668</f>
        <v>10668</v>
      </c>
      <c r="C70" s="5">
        <f>10668</f>
        <v>10668</v>
      </c>
      <c r="D70" s="5">
        <f>10668</f>
        <v>10668</v>
      </c>
      <c r="E70" s="5">
        <f t="shared" si="12"/>
        <v>32004</v>
      </c>
      <c r="F70" s="15">
        <f t="shared" si="1"/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29">
        <v>0</v>
      </c>
    </row>
    <row r="71" spans="1:12" x14ac:dyDescent="0.35">
      <c r="A71" s="3" t="s">
        <v>62</v>
      </c>
      <c r="B71" s="4"/>
      <c r="C71" s="5">
        <f>624.66</f>
        <v>624.66</v>
      </c>
      <c r="D71" s="4"/>
      <c r="E71" s="5">
        <f t="shared" si="12"/>
        <v>624.66</v>
      </c>
      <c r="F71" s="15">
        <f t="shared" si="1"/>
        <v>0</v>
      </c>
      <c r="G71" s="4">
        <v>0</v>
      </c>
      <c r="H71" s="4">
        <f t="shared" si="3"/>
        <v>0</v>
      </c>
      <c r="I71" s="4">
        <f t="shared" si="9"/>
        <v>0</v>
      </c>
      <c r="J71" s="4">
        <f t="shared" si="6"/>
        <v>0</v>
      </c>
      <c r="K71" s="4">
        <f t="shared" si="11"/>
        <v>0</v>
      </c>
      <c r="L71" s="28">
        <v>0</v>
      </c>
    </row>
    <row r="72" spans="1:12" x14ac:dyDescent="0.35">
      <c r="A72" s="3" t="s">
        <v>55</v>
      </c>
      <c r="B72" s="6">
        <f>(((((((B64)+(B65))+(B66))+(B67))+(B68))+(B69))+(B70))+(B71)</f>
        <v>21672.35</v>
      </c>
      <c r="C72" s="6">
        <f>(((((((C64)+(C65))+(C66))+(C67))+(C68))+(C69))+(C70))+(C71)</f>
        <v>20203.38</v>
      </c>
      <c r="D72" s="6">
        <f>(((((((D64)+(D65))+(D66))+(D67))+(D68))+(D69))+(D70))+(D71)</f>
        <v>12892.04</v>
      </c>
      <c r="E72" s="6">
        <f t="shared" si="12"/>
        <v>54767.77</v>
      </c>
      <c r="F72" s="15">
        <f t="shared" si="1"/>
        <v>-0.40513880589783746</v>
      </c>
      <c r="G72" s="6">
        <f t="shared" ref="G72:K72" si="13">(((((((G64)+(G65))+(G66))+(G67))+(G68))+(G69))+(G70))+(G71)</f>
        <v>5370.7766666666657</v>
      </c>
      <c r="H72" s="6">
        <f t="shared" si="13"/>
        <v>1162.8399999999674</v>
      </c>
      <c r="I72" s="6">
        <f t="shared" si="13"/>
        <v>717.78028676493579</v>
      </c>
      <c r="J72" s="6">
        <f t="shared" si="13"/>
        <v>933.08514338246789</v>
      </c>
      <c r="K72" s="6">
        <f t="shared" si="13"/>
        <v>1148.3899999999999</v>
      </c>
      <c r="L72" s="11">
        <f>(((((((L64)+(L65))+(L66))+(L67))+(L68))+(L69))+(L70))+(L71)</f>
        <v>2417.9157656041471</v>
      </c>
    </row>
    <row r="73" spans="1:12" x14ac:dyDescent="0.35">
      <c r="A73" s="3" t="s">
        <v>64</v>
      </c>
      <c r="B73" s="5">
        <f>1860</f>
        <v>1860</v>
      </c>
      <c r="C73" s="5">
        <f>9105.97</f>
        <v>9105.9699999999993</v>
      </c>
      <c r="D73" s="5">
        <f>8000</f>
        <v>8000</v>
      </c>
      <c r="E73" s="5">
        <f t="shared" si="12"/>
        <v>18965.97</v>
      </c>
      <c r="F73" s="15">
        <f t="shared" si="1"/>
        <v>3.3010752688172045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29">
        <v>0</v>
      </c>
    </row>
    <row r="74" spans="1:12" x14ac:dyDescent="0.35">
      <c r="A74" s="3" t="s">
        <v>65</v>
      </c>
      <c r="B74" s="5">
        <f>78</f>
        <v>78</v>
      </c>
      <c r="C74" s="5">
        <f>26</f>
        <v>26</v>
      </c>
      <c r="D74" s="5">
        <f>56+500</f>
        <v>556</v>
      </c>
      <c r="E74" s="5">
        <f t="shared" si="12"/>
        <v>660</v>
      </c>
      <c r="F74" s="15">
        <f t="shared" ref="F74:F137" si="14">IF(D74=0,0,IFERROR((D74-B74)/B74,0))</f>
        <v>6.1282051282051286</v>
      </c>
      <c r="G74" s="5">
        <f t="shared" ref="G74:G137" si="15">E74/3</f>
        <v>220</v>
      </c>
      <c r="H74" s="5">
        <f t="shared" ref="H74:H136" si="16">IFERROR(_xlfn.FORECAST.LINEAR($H$4,B74:D74,$B$4:$D$4),0)</f>
        <v>698</v>
      </c>
      <c r="I74" s="5">
        <f t="shared" si="9"/>
        <v>556</v>
      </c>
      <c r="J74" s="5">
        <f t="shared" si="6"/>
        <v>556</v>
      </c>
      <c r="K74" s="5">
        <f t="shared" si="11"/>
        <v>556</v>
      </c>
      <c r="L74" s="29">
        <v>600</v>
      </c>
    </row>
    <row r="75" spans="1:12" x14ac:dyDescent="0.35">
      <c r="A75" s="3" t="s">
        <v>66</v>
      </c>
      <c r="B75" s="5">
        <f>450</f>
        <v>450</v>
      </c>
      <c r="C75" s="4"/>
      <c r="D75" s="4"/>
      <c r="E75" s="5">
        <f t="shared" si="12"/>
        <v>450</v>
      </c>
      <c r="F75" s="15">
        <f t="shared" si="14"/>
        <v>0</v>
      </c>
      <c r="G75" s="4">
        <v>0</v>
      </c>
      <c r="H75" s="4">
        <f t="shared" si="16"/>
        <v>0</v>
      </c>
      <c r="I75" s="4">
        <f t="shared" si="9"/>
        <v>0</v>
      </c>
      <c r="J75" s="4">
        <f t="shared" ref="J75:J138" si="17">D75*MIN((1+F75/2),1)</f>
        <v>0</v>
      </c>
      <c r="K75" s="4">
        <f t="shared" si="11"/>
        <v>0</v>
      </c>
      <c r="L75" s="28">
        <v>0</v>
      </c>
    </row>
    <row r="76" spans="1:12" x14ac:dyDescent="0.35">
      <c r="A76" s="3" t="s">
        <v>64</v>
      </c>
      <c r="B76" s="6">
        <f>((B73)+(B74))+(B75)</f>
        <v>2388</v>
      </c>
      <c r="C76" s="6">
        <f>((C73)+(C74))+(C75)</f>
        <v>9131.9699999999993</v>
      </c>
      <c r="D76" s="6">
        <f>((D73)+(D74))+(D75)</f>
        <v>8556</v>
      </c>
      <c r="E76" s="6">
        <f t="shared" si="12"/>
        <v>20075.97</v>
      </c>
      <c r="F76" s="15">
        <f t="shared" si="14"/>
        <v>2.5829145728643215</v>
      </c>
      <c r="G76" s="6">
        <f t="shared" ref="G76:L76" si="18">((G73)+(G74))+(G75)</f>
        <v>220</v>
      </c>
      <c r="H76" s="6">
        <f t="shared" si="18"/>
        <v>698</v>
      </c>
      <c r="I76" s="6">
        <f t="shared" si="18"/>
        <v>556</v>
      </c>
      <c r="J76" s="6">
        <f t="shared" si="18"/>
        <v>556</v>
      </c>
      <c r="K76" s="6">
        <f t="shared" si="18"/>
        <v>556</v>
      </c>
      <c r="L76" s="11">
        <f t="shared" si="18"/>
        <v>600</v>
      </c>
    </row>
    <row r="77" spans="1:12" x14ac:dyDescent="0.35">
      <c r="A77" s="3" t="s">
        <v>68</v>
      </c>
      <c r="B77" s="5">
        <f>2993.34</f>
        <v>2993.34</v>
      </c>
      <c r="C77" s="4"/>
      <c r="D77" s="4"/>
      <c r="E77" s="5">
        <f t="shared" si="12"/>
        <v>2993.34</v>
      </c>
      <c r="F77" s="15">
        <f t="shared" si="14"/>
        <v>0</v>
      </c>
      <c r="G77" s="4">
        <f t="shared" si="15"/>
        <v>997.78000000000009</v>
      </c>
      <c r="H77" s="4">
        <f t="shared" si="16"/>
        <v>0</v>
      </c>
      <c r="I77" s="4">
        <f t="shared" si="9"/>
        <v>0</v>
      </c>
      <c r="J77" s="4">
        <f t="shared" si="17"/>
        <v>0</v>
      </c>
      <c r="K77" s="4">
        <f t="shared" si="11"/>
        <v>0</v>
      </c>
      <c r="L77" s="28">
        <v>0</v>
      </c>
    </row>
    <row r="78" spans="1:12" x14ac:dyDescent="0.35">
      <c r="A78" s="3" t="s">
        <v>69</v>
      </c>
      <c r="B78" s="5">
        <f>1172.55</f>
        <v>1172.55</v>
      </c>
      <c r="C78" s="5">
        <f>1515</f>
        <v>1515</v>
      </c>
      <c r="D78" s="5"/>
      <c r="E78" s="5">
        <f t="shared" si="12"/>
        <v>2687.55</v>
      </c>
      <c r="F78" s="22">
        <v>-0.3</v>
      </c>
      <c r="G78" s="20">
        <f t="shared" si="15"/>
        <v>895.85</v>
      </c>
      <c r="H78" s="20">
        <f t="shared" si="16"/>
        <v>2199.9000000000233</v>
      </c>
      <c r="I78" s="20">
        <f t="shared" si="9"/>
        <v>0</v>
      </c>
      <c r="J78" s="20">
        <f t="shared" si="17"/>
        <v>0</v>
      </c>
      <c r="K78" s="20">
        <f t="shared" si="11"/>
        <v>0</v>
      </c>
      <c r="L78" s="29">
        <f>I78</f>
        <v>0</v>
      </c>
    </row>
    <row r="79" spans="1:12" x14ac:dyDescent="0.35">
      <c r="A79" s="3" t="s">
        <v>70</v>
      </c>
      <c r="B79" s="4"/>
      <c r="C79" s="4"/>
      <c r="D79" s="5">
        <f>524</f>
        <v>524</v>
      </c>
      <c r="E79" s="5">
        <f t="shared" si="12"/>
        <v>524</v>
      </c>
      <c r="F79" s="15">
        <f t="shared" si="14"/>
        <v>0</v>
      </c>
      <c r="G79" s="5">
        <f t="shared" si="15"/>
        <v>174.66666666666666</v>
      </c>
      <c r="H79" s="5">
        <f t="shared" si="16"/>
        <v>0</v>
      </c>
      <c r="I79" s="5">
        <f t="shared" si="9"/>
        <v>524</v>
      </c>
      <c r="J79" s="5">
        <f t="shared" si="17"/>
        <v>524</v>
      </c>
      <c r="K79" s="5">
        <f t="shared" si="11"/>
        <v>524</v>
      </c>
      <c r="L79" s="29">
        <f t="shared" si="11"/>
        <v>524</v>
      </c>
    </row>
    <row r="80" spans="1:12" x14ac:dyDescent="0.35">
      <c r="A80" s="3" t="s">
        <v>71</v>
      </c>
      <c r="B80" s="4"/>
      <c r="C80" s="4"/>
      <c r="D80" s="9">
        <v>4609.55</v>
      </c>
      <c r="E80" s="5">
        <f t="shared" si="12"/>
        <v>4609.55</v>
      </c>
      <c r="F80" s="22">
        <v>-0.3</v>
      </c>
      <c r="G80" s="9">
        <f t="shared" si="15"/>
        <v>1536.5166666666667</v>
      </c>
      <c r="H80" s="9">
        <f t="shared" si="16"/>
        <v>0</v>
      </c>
      <c r="I80" s="9">
        <f t="shared" si="9"/>
        <v>3226.6849999999999</v>
      </c>
      <c r="J80" s="9">
        <f t="shared" si="17"/>
        <v>3918.1174999999998</v>
      </c>
      <c r="K80" s="9">
        <f t="shared" si="11"/>
        <v>4609.55</v>
      </c>
      <c r="L80" s="29">
        <f t="shared" si="11"/>
        <v>4609.55</v>
      </c>
    </row>
    <row r="81" spans="1:12" x14ac:dyDescent="0.35">
      <c r="A81" s="3" t="s">
        <v>72</v>
      </c>
      <c r="B81" s="5">
        <f>810.03</f>
        <v>810.03</v>
      </c>
      <c r="C81" s="4"/>
      <c r="D81" s="4"/>
      <c r="E81" s="5">
        <f t="shared" si="12"/>
        <v>810.03</v>
      </c>
      <c r="F81" s="15">
        <f t="shared" si="14"/>
        <v>0</v>
      </c>
      <c r="G81" s="4">
        <f t="shared" si="15"/>
        <v>270.01</v>
      </c>
      <c r="H81" s="4">
        <f t="shared" si="16"/>
        <v>0</v>
      </c>
      <c r="I81" s="4">
        <f t="shared" ref="I81:I142" si="19">D81*MIN((1+F81),1)</f>
        <v>0</v>
      </c>
      <c r="J81" s="4">
        <f t="shared" si="17"/>
        <v>0</v>
      </c>
      <c r="K81" s="4">
        <f t="shared" si="11"/>
        <v>0</v>
      </c>
      <c r="L81" s="28">
        <v>0</v>
      </c>
    </row>
    <row r="82" spans="1:12" x14ac:dyDescent="0.35">
      <c r="A82" s="3" t="s">
        <v>73</v>
      </c>
      <c r="B82" s="5">
        <f>99.99</f>
        <v>99.99</v>
      </c>
      <c r="C82" s="4"/>
      <c r="D82" s="4"/>
      <c r="E82" s="5">
        <f t="shared" si="12"/>
        <v>99.99</v>
      </c>
      <c r="F82" s="15">
        <f t="shared" si="14"/>
        <v>0</v>
      </c>
      <c r="G82" s="4">
        <f t="shared" si="15"/>
        <v>33.33</v>
      </c>
      <c r="H82" s="4">
        <f t="shared" si="16"/>
        <v>0</v>
      </c>
      <c r="I82" s="4">
        <f t="shared" si="19"/>
        <v>0</v>
      </c>
      <c r="J82" s="4">
        <f t="shared" si="17"/>
        <v>0</v>
      </c>
      <c r="K82" s="4">
        <f t="shared" si="11"/>
        <v>0</v>
      </c>
      <c r="L82" s="28">
        <v>0</v>
      </c>
    </row>
    <row r="83" spans="1:12" x14ac:dyDescent="0.35">
      <c r="A83" s="3" t="s">
        <v>74</v>
      </c>
      <c r="B83" s="5">
        <f>1700</f>
        <v>1700</v>
      </c>
      <c r="C83" s="5">
        <f>1125</f>
        <v>1125</v>
      </c>
      <c r="D83" s="5">
        <f>25</f>
        <v>25</v>
      </c>
      <c r="E83" s="5">
        <f t="shared" si="12"/>
        <v>2850</v>
      </c>
      <c r="F83" s="15">
        <f t="shared" si="14"/>
        <v>-0.98529411764705888</v>
      </c>
      <c r="G83" s="5">
        <f t="shared" si="15"/>
        <v>950</v>
      </c>
      <c r="H83" s="5">
        <v>0</v>
      </c>
      <c r="I83" s="5">
        <f t="shared" si="19"/>
        <v>0.36764705882352811</v>
      </c>
      <c r="J83" s="5">
        <f t="shared" si="17"/>
        <v>12.683823529411764</v>
      </c>
      <c r="K83" s="5">
        <f t="shared" si="11"/>
        <v>25</v>
      </c>
      <c r="L83" s="29">
        <f>D83</f>
        <v>25</v>
      </c>
    </row>
    <row r="84" spans="1:12" x14ac:dyDescent="0.35">
      <c r="A84" s="3" t="s">
        <v>75</v>
      </c>
      <c r="B84" s="5">
        <f>4665.07</f>
        <v>4665.07</v>
      </c>
      <c r="C84" s="5">
        <f>6698.95</f>
        <v>6698.95</v>
      </c>
      <c r="D84" s="5">
        <v>3271.34</v>
      </c>
      <c r="E84" s="5">
        <f t="shared" si="12"/>
        <v>14635.36</v>
      </c>
      <c r="F84" s="15">
        <f t="shared" si="14"/>
        <v>-0.29875864670840946</v>
      </c>
      <c r="G84" s="5">
        <f t="shared" si="15"/>
        <v>4878.4533333333338</v>
      </c>
      <c r="H84" s="5">
        <f t="shared" si="16"/>
        <v>3484.7233333333861</v>
      </c>
      <c r="I84" s="5">
        <f t="shared" si="19"/>
        <v>2293.998888676912</v>
      </c>
      <c r="J84" s="5">
        <f t="shared" si="17"/>
        <v>2782.6694443384563</v>
      </c>
      <c r="K84" s="5">
        <f t="shared" si="11"/>
        <v>3271.34</v>
      </c>
      <c r="L84" s="29">
        <f>D84</f>
        <v>3271.34</v>
      </c>
    </row>
    <row r="85" spans="1:12" x14ac:dyDescent="0.35">
      <c r="A85" s="3" t="s">
        <v>76</v>
      </c>
      <c r="B85" s="5">
        <f>5322.46</f>
        <v>5322.46</v>
      </c>
      <c r="C85" s="4"/>
      <c r="D85" s="4"/>
      <c r="E85" s="7">
        <v>0</v>
      </c>
      <c r="F85" s="15">
        <f t="shared" si="14"/>
        <v>0</v>
      </c>
      <c r="G85" s="4">
        <f t="shared" si="15"/>
        <v>0</v>
      </c>
      <c r="H85" s="4">
        <f t="shared" si="16"/>
        <v>0</v>
      </c>
      <c r="I85" s="4">
        <f t="shared" si="19"/>
        <v>0</v>
      </c>
      <c r="J85" s="4">
        <f t="shared" si="17"/>
        <v>0</v>
      </c>
      <c r="K85" s="4">
        <f t="shared" si="11"/>
        <v>0</v>
      </c>
      <c r="L85" s="28">
        <f t="shared" si="11"/>
        <v>0</v>
      </c>
    </row>
    <row r="86" spans="1:12" x14ac:dyDescent="0.35">
      <c r="A86" s="3" t="s">
        <v>75</v>
      </c>
      <c r="B86" s="6">
        <f>(B84)+(B85)</f>
        <v>9987.5299999999988</v>
      </c>
      <c r="C86" s="6">
        <f>(C84)+(C85)</f>
        <v>6698.95</v>
      </c>
      <c r="D86" s="6">
        <f>(D84)+(D85)</f>
        <v>3271.34</v>
      </c>
      <c r="E86" s="6">
        <f t="shared" si="12"/>
        <v>19957.82</v>
      </c>
      <c r="F86" s="15">
        <f t="shared" si="14"/>
        <v>-0.67245755457054945</v>
      </c>
      <c r="G86" s="6">
        <f t="shared" ref="G86:K86" si="20">(G84)+(G85)</f>
        <v>4878.4533333333338</v>
      </c>
      <c r="H86" s="6">
        <f t="shared" si="20"/>
        <v>3484.7233333333861</v>
      </c>
      <c r="I86" s="6">
        <f t="shared" si="20"/>
        <v>2293.998888676912</v>
      </c>
      <c r="J86" s="6">
        <f t="shared" si="20"/>
        <v>2782.6694443384563</v>
      </c>
      <c r="K86" s="6">
        <f t="shared" si="20"/>
        <v>3271.34</v>
      </c>
      <c r="L86" s="11">
        <f>(L84)+(L85)</f>
        <v>3271.34</v>
      </c>
    </row>
    <row r="87" spans="1:12" hidden="1" x14ac:dyDescent="0.35">
      <c r="A87" s="3" t="s">
        <v>78</v>
      </c>
      <c r="B87" s="4"/>
      <c r="C87" s="4"/>
      <c r="D87" s="4"/>
      <c r="E87" s="5">
        <f t="shared" si="12"/>
        <v>0</v>
      </c>
      <c r="F87" s="15">
        <f t="shared" si="14"/>
        <v>0</v>
      </c>
      <c r="G87" s="4">
        <f t="shared" si="15"/>
        <v>0</v>
      </c>
      <c r="H87" s="4">
        <f t="shared" si="16"/>
        <v>0</v>
      </c>
      <c r="I87" s="4">
        <f t="shared" si="19"/>
        <v>0</v>
      </c>
      <c r="J87" s="4">
        <f t="shared" si="17"/>
        <v>0</v>
      </c>
      <c r="K87" s="4">
        <f t="shared" si="11"/>
        <v>0</v>
      </c>
      <c r="L87" s="28">
        <f t="shared" si="11"/>
        <v>0</v>
      </c>
    </row>
    <row r="88" spans="1:12" hidden="1" x14ac:dyDescent="0.35">
      <c r="A88" s="3" t="s">
        <v>79</v>
      </c>
      <c r="B88" s="5">
        <f>447.95</f>
        <v>447.95</v>
      </c>
      <c r="C88" s="4"/>
      <c r="D88" s="4"/>
      <c r="E88" s="7">
        <v>0</v>
      </c>
      <c r="F88" s="15">
        <f t="shared" si="14"/>
        <v>0</v>
      </c>
      <c r="G88" s="4">
        <f t="shared" si="15"/>
        <v>0</v>
      </c>
      <c r="H88" s="4">
        <f t="shared" si="16"/>
        <v>0</v>
      </c>
      <c r="I88" s="4">
        <f t="shared" si="19"/>
        <v>0</v>
      </c>
      <c r="J88" s="4">
        <f t="shared" si="17"/>
        <v>0</v>
      </c>
      <c r="K88" s="4">
        <f t="shared" si="11"/>
        <v>0</v>
      </c>
      <c r="L88" s="28">
        <f t="shared" si="11"/>
        <v>0</v>
      </c>
    </row>
    <row r="89" spans="1:12" hidden="1" x14ac:dyDescent="0.35">
      <c r="A89" s="3" t="s">
        <v>80</v>
      </c>
      <c r="B89" s="5">
        <f>150.03</f>
        <v>150.03</v>
      </c>
      <c r="C89" s="5">
        <f>29.59</f>
        <v>29.59</v>
      </c>
      <c r="D89" s="4"/>
      <c r="E89" s="7">
        <v>0</v>
      </c>
      <c r="F89" s="15">
        <f t="shared" si="14"/>
        <v>0</v>
      </c>
      <c r="G89" s="4">
        <f t="shared" si="15"/>
        <v>0</v>
      </c>
      <c r="H89" s="4">
        <v>0</v>
      </c>
      <c r="I89" s="4">
        <f t="shared" si="19"/>
        <v>0</v>
      </c>
      <c r="J89" s="4">
        <f t="shared" si="17"/>
        <v>0</v>
      </c>
      <c r="K89" s="4">
        <f t="shared" si="11"/>
        <v>0</v>
      </c>
      <c r="L89" s="28">
        <f t="shared" si="11"/>
        <v>0</v>
      </c>
    </row>
    <row r="90" spans="1:12" x14ac:dyDescent="0.35">
      <c r="A90" s="3" t="s">
        <v>78</v>
      </c>
      <c r="B90" s="6">
        <f>((B87)+(B88))+(B89)</f>
        <v>597.98</v>
      </c>
      <c r="C90" s="6">
        <f>((C87)+(C88))+(C89)</f>
        <v>29.59</v>
      </c>
      <c r="D90" s="6">
        <f>((D87)+(D88))+(D89)</f>
        <v>0</v>
      </c>
      <c r="E90" s="6">
        <f t="shared" si="12"/>
        <v>627.57000000000005</v>
      </c>
      <c r="F90" s="15">
        <f t="shared" si="14"/>
        <v>0</v>
      </c>
      <c r="G90" s="6">
        <f t="shared" ref="G90:L90" si="21">((G87)+(G88))+(G89)</f>
        <v>0</v>
      </c>
      <c r="H90" s="6">
        <f t="shared" si="21"/>
        <v>0</v>
      </c>
      <c r="I90" s="6">
        <f t="shared" si="21"/>
        <v>0</v>
      </c>
      <c r="J90" s="6">
        <f t="shared" si="21"/>
        <v>0</v>
      </c>
      <c r="K90" s="6">
        <f t="shared" si="21"/>
        <v>0</v>
      </c>
      <c r="L90" s="11">
        <f t="shared" si="21"/>
        <v>0</v>
      </c>
    </row>
    <row r="91" spans="1:12" x14ac:dyDescent="0.35">
      <c r="A91" s="3" t="s">
        <v>82</v>
      </c>
      <c r="B91" s="4"/>
      <c r="C91" s="5">
        <f>90</f>
        <v>90</v>
      </c>
      <c r="D91" s="5">
        <v>19528</v>
      </c>
      <c r="E91" s="5">
        <f t="shared" si="12"/>
        <v>19618</v>
      </c>
      <c r="F91" s="15">
        <f t="shared" si="14"/>
        <v>0</v>
      </c>
      <c r="G91" s="5">
        <v>1000</v>
      </c>
      <c r="H91" s="5">
        <v>1000</v>
      </c>
      <c r="I91" s="5">
        <v>1000</v>
      </c>
      <c r="J91" s="5">
        <v>1000</v>
      </c>
      <c r="K91" s="5">
        <v>1000</v>
      </c>
      <c r="L91" s="29">
        <v>0</v>
      </c>
    </row>
    <row r="92" spans="1:12" x14ac:dyDescent="0.35">
      <c r="A92" s="3" t="s">
        <v>83</v>
      </c>
      <c r="B92" s="5">
        <f>334.95</f>
        <v>334.95</v>
      </c>
      <c r="C92" s="5">
        <f>1443.06</f>
        <v>1443.06</v>
      </c>
      <c r="D92" s="5">
        <f>807.68</f>
        <v>807.68</v>
      </c>
      <c r="E92" s="5">
        <f t="shared" si="12"/>
        <v>2585.69</v>
      </c>
      <c r="F92" s="15">
        <f t="shared" si="14"/>
        <v>1.4113449768622182</v>
      </c>
      <c r="G92" s="5">
        <f t="shared" si="15"/>
        <v>861.89666666666665</v>
      </c>
      <c r="H92" s="5">
        <f t="shared" si="16"/>
        <v>1334.6266666666488</v>
      </c>
      <c r="I92" s="20">
        <f>D92*MIN((1+F92),1)*0.7</f>
        <v>565.37599999999998</v>
      </c>
      <c r="J92" s="20">
        <f>D92*MIN((1+F92/2),1)*0.85</f>
        <v>686.52799999999991</v>
      </c>
      <c r="K92" s="20">
        <f t="shared" si="11"/>
        <v>807.68</v>
      </c>
      <c r="L92" s="29">
        <f>I92</f>
        <v>565.37599999999998</v>
      </c>
    </row>
    <row r="93" spans="1:12" x14ac:dyDescent="0.35">
      <c r="A93" s="3" t="s">
        <v>84</v>
      </c>
      <c r="B93" s="4"/>
      <c r="C93" s="5">
        <f>21.9</f>
        <v>21.9</v>
      </c>
      <c r="D93" s="5">
        <f>19.28</f>
        <v>19.28</v>
      </c>
      <c r="E93" s="5">
        <f t="shared" si="12"/>
        <v>41.18</v>
      </c>
      <c r="F93" s="15">
        <f t="shared" si="14"/>
        <v>0</v>
      </c>
      <c r="G93" s="5">
        <f t="shared" si="15"/>
        <v>13.726666666666667</v>
      </c>
      <c r="H93" s="5">
        <f t="shared" si="16"/>
        <v>16.660000000000764</v>
      </c>
      <c r="I93" s="5">
        <f t="shared" si="19"/>
        <v>19.28</v>
      </c>
      <c r="J93" s="5">
        <f t="shared" si="17"/>
        <v>19.28</v>
      </c>
      <c r="K93" s="5">
        <f t="shared" si="11"/>
        <v>19.28</v>
      </c>
      <c r="L93" s="29">
        <v>0</v>
      </c>
    </row>
    <row r="94" spans="1:12" x14ac:dyDescent="0.35">
      <c r="A94" s="3" t="s">
        <v>85</v>
      </c>
      <c r="B94" s="5">
        <f>234.18</f>
        <v>234.18</v>
      </c>
      <c r="C94" s="5">
        <f>403.9</f>
        <v>403.9</v>
      </c>
      <c r="D94" s="5">
        <f>1000</f>
        <v>1000</v>
      </c>
      <c r="E94" s="5">
        <f t="shared" si="12"/>
        <v>1638.08</v>
      </c>
      <c r="F94" s="15">
        <f t="shared" si="14"/>
        <v>3.2702194892817489</v>
      </c>
      <c r="G94" s="5">
        <f t="shared" si="15"/>
        <v>546.02666666666664</v>
      </c>
      <c r="H94" s="5">
        <f t="shared" si="16"/>
        <v>1311.8466666665627</v>
      </c>
      <c r="I94" s="5">
        <f t="shared" si="19"/>
        <v>1000</v>
      </c>
      <c r="J94" s="5">
        <f t="shared" si="17"/>
        <v>1000</v>
      </c>
      <c r="K94" s="5">
        <f t="shared" si="11"/>
        <v>1000</v>
      </c>
      <c r="L94" s="29">
        <v>0</v>
      </c>
    </row>
    <row r="95" spans="1:12" x14ac:dyDescent="0.35">
      <c r="A95" s="3" t="s">
        <v>69</v>
      </c>
      <c r="B95" s="6">
        <f>(((((((((((B78)+(B79))+(B80))+(B81))+(B82))+(B83))+(B86))+(B90))+(B91))+(B92))+(B93))+(B94)</f>
        <v>14937.21</v>
      </c>
      <c r="C95" s="6">
        <f>(((((((((((C78)+(C79))+(C80))+(C81))+(C82))+(C83))+(C86))+(C90))+(C91))+(C92))+(C93))+(C94)</f>
        <v>11327.4</v>
      </c>
      <c r="D95" s="6">
        <f>(((((((((((D78)+(D79))+(D80))+(D81))+(D82))+(D83))+(D86))+(D90))+(D91))+(D92))+(D93))+(D94)</f>
        <v>29784.85</v>
      </c>
      <c r="E95" s="6">
        <f t="shared" si="12"/>
        <v>56049.46</v>
      </c>
      <c r="F95" s="15">
        <f t="shared" si="14"/>
        <v>0.99400356559223579</v>
      </c>
      <c r="G95" s="6">
        <f t="shared" ref="G95:K95" si="22">(((((((((((G78)+(G79))+(G80))+(G81))+(G82))+(G83))+(G86))+(G90))+(G91))+(G92))+(G93))+(G94)</f>
        <v>11160.476666666669</v>
      </c>
      <c r="H95" s="6">
        <f t="shared" si="22"/>
        <v>9347.7566666666207</v>
      </c>
      <c r="I95" s="6">
        <f t="shared" si="22"/>
        <v>8629.7075357357353</v>
      </c>
      <c r="J95" s="6">
        <f t="shared" si="22"/>
        <v>9943.2787678678687</v>
      </c>
      <c r="K95" s="6">
        <f t="shared" si="22"/>
        <v>11256.85</v>
      </c>
      <c r="L95" s="11">
        <f>(((((((((((L78)+(L79))+(L80))+(L81))+(L82))+(L83))+(L86))+(L90))+(L91))+(L92))+(L93))+(L94)+L84</f>
        <v>12266.606</v>
      </c>
    </row>
    <row r="96" spans="1:12" x14ac:dyDescent="0.35">
      <c r="A96" s="3" t="s">
        <v>87</v>
      </c>
      <c r="B96" s="5">
        <f>3300</f>
        <v>3300</v>
      </c>
      <c r="C96" s="5">
        <f>2700</f>
        <v>2700</v>
      </c>
      <c r="D96" s="5">
        <f>2400</f>
        <v>2400</v>
      </c>
      <c r="E96" s="5">
        <f t="shared" si="12"/>
        <v>8400</v>
      </c>
      <c r="F96" s="15">
        <f t="shared" si="14"/>
        <v>-0.27272727272727271</v>
      </c>
      <c r="G96" s="5">
        <f t="shared" si="15"/>
        <v>2800</v>
      </c>
      <c r="H96" s="5">
        <f t="shared" si="16"/>
        <v>1900</v>
      </c>
      <c r="I96" s="20">
        <f>D96*MIN((1+F96),1)*0.7</f>
        <v>1221.8181818181818</v>
      </c>
      <c r="J96" s="20">
        <f>D96*MIN((1+F96/2),1)*0.85</f>
        <v>1761.818181818182</v>
      </c>
      <c r="K96" s="20">
        <f t="shared" ref="K96" si="23">D96</f>
        <v>2400</v>
      </c>
      <c r="L96" s="29"/>
    </row>
    <row r="97" spans="1:13" x14ac:dyDescent="0.35">
      <c r="A97" s="3" t="s">
        <v>88</v>
      </c>
      <c r="B97" s="5">
        <f>3726.18</f>
        <v>3726.18</v>
      </c>
      <c r="C97" s="5">
        <f>6750</f>
        <v>6750</v>
      </c>
      <c r="D97" s="5">
        <f>930.56</f>
        <v>930.56</v>
      </c>
      <c r="E97" s="5">
        <f t="shared" si="12"/>
        <v>11406.74</v>
      </c>
      <c r="F97" s="15">
        <f t="shared" si="14"/>
        <v>-0.75026434579113199</v>
      </c>
      <c r="G97" s="5">
        <f t="shared" si="15"/>
        <v>3802.2466666666664</v>
      </c>
      <c r="H97" s="5">
        <f t="shared" si="16"/>
        <v>1006.6266666664742</v>
      </c>
      <c r="I97" s="5">
        <f t="shared" si="19"/>
        <v>232.39401038060419</v>
      </c>
      <c r="J97" s="5">
        <f t="shared" si="17"/>
        <v>581.47700519030207</v>
      </c>
      <c r="K97" s="5">
        <f t="shared" si="11"/>
        <v>930.56</v>
      </c>
      <c r="L97" s="29">
        <f>K97</f>
        <v>930.56</v>
      </c>
    </row>
    <row r="98" spans="1:13" x14ac:dyDescent="0.35">
      <c r="A98" s="3" t="s">
        <v>89</v>
      </c>
      <c r="B98" s="4"/>
      <c r="C98" s="5">
        <f>1150</f>
        <v>1150</v>
      </c>
      <c r="D98" s="5">
        <f>136.74</f>
        <v>136.74</v>
      </c>
      <c r="E98" s="5">
        <f t="shared" si="12"/>
        <v>1286.74</v>
      </c>
      <c r="F98" s="15">
        <f t="shared" si="14"/>
        <v>0</v>
      </c>
      <c r="G98" s="5">
        <f t="shared" si="15"/>
        <v>428.91333333333336</v>
      </c>
      <c r="H98" s="5">
        <v>0</v>
      </c>
      <c r="I98" s="5">
        <v>0</v>
      </c>
      <c r="J98" s="5">
        <v>0</v>
      </c>
      <c r="K98" s="5">
        <v>0</v>
      </c>
      <c r="L98" s="29">
        <v>0</v>
      </c>
    </row>
    <row r="99" spans="1:13" x14ac:dyDescent="0.35">
      <c r="A99" s="3" t="s">
        <v>90</v>
      </c>
      <c r="B99" s="5">
        <f>447.49</f>
        <v>447.49</v>
      </c>
      <c r="C99" s="5">
        <f>5924</f>
        <v>5924</v>
      </c>
      <c r="D99" s="23">
        <f>7000</f>
        <v>7000</v>
      </c>
      <c r="E99" s="5">
        <f t="shared" si="12"/>
        <v>13371.49</v>
      </c>
      <c r="F99" s="15">
        <f t="shared" si="14"/>
        <v>14.64280766050638</v>
      </c>
      <c r="G99" s="5">
        <f t="shared" si="15"/>
        <v>4457.163333333333</v>
      </c>
      <c r="H99" s="5">
        <f t="shared" si="16"/>
        <v>11009.673333332874</v>
      </c>
      <c r="I99" s="20">
        <f>D99*MIN((1+F99),1)*0.7</f>
        <v>4900</v>
      </c>
      <c r="J99" s="20">
        <f>D99*MIN((1+F99/2),1)*0.85</f>
        <v>5950</v>
      </c>
      <c r="K99" s="20">
        <f t="shared" si="11"/>
        <v>7000</v>
      </c>
      <c r="L99" s="29">
        <f>1500*12</f>
        <v>18000</v>
      </c>
    </row>
    <row r="100" spans="1:13" x14ac:dyDescent="0.35">
      <c r="A100" s="3" t="s">
        <v>91</v>
      </c>
      <c r="B100" s="5">
        <f>239.95</f>
        <v>239.95</v>
      </c>
      <c r="C100" s="5">
        <f>456</f>
        <v>456</v>
      </c>
      <c r="D100" s="5">
        <f>1103.95</f>
        <v>1103.95</v>
      </c>
      <c r="E100" s="5">
        <f t="shared" si="12"/>
        <v>1799.9</v>
      </c>
      <c r="F100" s="15">
        <f t="shared" si="14"/>
        <v>3.600750156282559</v>
      </c>
      <c r="G100" s="5">
        <f t="shared" si="15"/>
        <v>599.9666666666667</v>
      </c>
      <c r="H100" s="5">
        <f t="shared" si="16"/>
        <v>1463.9666666666744</v>
      </c>
      <c r="I100" s="5">
        <f t="shared" si="19"/>
        <v>1103.95</v>
      </c>
      <c r="J100" s="5">
        <f t="shared" si="17"/>
        <v>1103.95</v>
      </c>
      <c r="K100" s="5">
        <f t="shared" si="11"/>
        <v>1103.95</v>
      </c>
      <c r="L100" s="29">
        <v>0</v>
      </c>
    </row>
    <row r="101" spans="1:13" x14ac:dyDescent="0.35">
      <c r="A101" s="3" t="s">
        <v>87</v>
      </c>
      <c r="B101" s="6">
        <f>((((B96)+(B97))+(B98))+(B99))+(B100)</f>
        <v>7713.62</v>
      </c>
      <c r="C101" s="6">
        <f>((((C96)+(C97))+(C98))+(C99))+(C100)</f>
        <v>16980</v>
      </c>
      <c r="D101" s="6">
        <f>((((D96)+(D97))+(D98))+(D99))+(D100)</f>
        <v>11571.25</v>
      </c>
      <c r="E101" s="6">
        <f t="shared" si="12"/>
        <v>36264.869999999995</v>
      </c>
      <c r="F101" s="15">
        <f t="shared" si="14"/>
        <v>0.50010630547006463</v>
      </c>
      <c r="G101" s="6">
        <f t="shared" ref="G101:L101" si="24">((((G96)+(G97))+(G98))+(G99))+(G100)</f>
        <v>12088.289999999999</v>
      </c>
      <c r="H101" s="6">
        <f t="shared" si="24"/>
        <v>15380.266666666023</v>
      </c>
      <c r="I101" s="6">
        <f t="shared" si="24"/>
        <v>7458.1621921987853</v>
      </c>
      <c r="J101" s="6">
        <f t="shared" si="24"/>
        <v>9397.2451870084842</v>
      </c>
      <c r="K101" s="6">
        <f t="shared" si="24"/>
        <v>11434.51</v>
      </c>
      <c r="L101" s="11">
        <f t="shared" si="24"/>
        <v>18930.560000000001</v>
      </c>
    </row>
    <row r="102" spans="1:13" x14ac:dyDescent="0.35">
      <c r="A102" s="3" t="s">
        <v>93</v>
      </c>
      <c r="B102" s="5">
        <f>667.54</f>
        <v>667.54</v>
      </c>
      <c r="C102" s="5">
        <f>1726.34</f>
        <v>1726.34</v>
      </c>
      <c r="D102" s="5">
        <f>-141.47</f>
        <v>-141.47</v>
      </c>
      <c r="E102" s="5">
        <f t="shared" si="12"/>
        <v>2252.4100000000003</v>
      </c>
      <c r="F102" s="15">
        <f t="shared" si="14"/>
        <v>-1.2119273751385686</v>
      </c>
      <c r="G102" s="5">
        <f t="shared" si="15"/>
        <v>750.8033333333334</v>
      </c>
      <c r="H102" s="5">
        <v>0</v>
      </c>
      <c r="I102" s="5">
        <v>0</v>
      </c>
      <c r="J102" s="5">
        <v>0</v>
      </c>
      <c r="K102" s="5">
        <v>0</v>
      </c>
      <c r="L102" s="29">
        <v>0</v>
      </c>
    </row>
    <row r="103" spans="1:13" x14ac:dyDescent="0.35">
      <c r="A103" s="3" t="s">
        <v>94</v>
      </c>
      <c r="B103" s="5">
        <f>4491.96</f>
        <v>4491.96</v>
      </c>
      <c r="C103" s="5">
        <f>494.9</f>
        <v>494.9</v>
      </c>
      <c r="D103" s="4"/>
      <c r="E103" s="5">
        <f t="shared" si="12"/>
        <v>4986.8599999999997</v>
      </c>
      <c r="F103" s="15">
        <f t="shared" si="14"/>
        <v>0</v>
      </c>
      <c r="G103" s="4">
        <f t="shared" si="15"/>
        <v>1662.2866666666666</v>
      </c>
      <c r="H103" s="4">
        <v>0</v>
      </c>
      <c r="I103" s="4">
        <f t="shared" si="19"/>
        <v>0</v>
      </c>
      <c r="J103" s="4">
        <f t="shared" si="17"/>
        <v>0</v>
      </c>
      <c r="K103" s="4">
        <f t="shared" si="11"/>
        <v>0</v>
      </c>
      <c r="L103" s="28"/>
    </row>
    <row r="104" spans="1:13" x14ac:dyDescent="0.35">
      <c r="A104" s="3" t="s">
        <v>93</v>
      </c>
      <c r="B104" s="6">
        <f>(B102)+(B103)</f>
        <v>5159.5</v>
      </c>
      <c r="C104" s="6">
        <f>(C102)+(C103)</f>
        <v>2221.2399999999998</v>
      </c>
      <c r="D104" s="6">
        <f>(D102)+(D103)</f>
        <v>-141.47</v>
      </c>
      <c r="E104" s="6">
        <f t="shared" si="12"/>
        <v>7239.2699999999995</v>
      </c>
      <c r="F104" s="15">
        <f t="shared" si="14"/>
        <v>-1.0274193235778661</v>
      </c>
      <c r="G104" s="6">
        <f t="shared" ref="G104:L104" si="25">(G102)+(G103)</f>
        <v>2413.09</v>
      </c>
      <c r="H104" s="6">
        <f t="shared" si="25"/>
        <v>0</v>
      </c>
      <c r="I104" s="6">
        <f t="shared" si="25"/>
        <v>0</v>
      </c>
      <c r="J104" s="6">
        <f t="shared" si="25"/>
        <v>0</v>
      </c>
      <c r="K104" s="6">
        <f t="shared" si="25"/>
        <v>0</v>
      </c>
      <c r="L104" s="11">
        <f t="shared" si="25"/>
        <v>0</v>
      </c>
    </row>
    <row r="105" spans="1:13" x14ac:dyDescent="0.35">
      <c r="A105" s="3" t="s">
        <v>96</v>
      </c>
      <c r="B105" s="4"/>
      <c r="C105" s="4"/>
      <c r="D105" s="4"/>
      <c r="E105" s="5">
        <f t="shared" si="12"/>
        <v>0</v>
      </c>
      <c r="F105" s="15">
        <f t="shared" si="14"/>
        <v>0</v>
      </c>
      <c r="G105" s="4">
        <f t="shared" si="15"/>
        <v>0</v>
      </c>
      <c r="H105" s="4">
        <f t="shared" si="16"/>
        <v>0</v>
      </c>
      <c r="I105" s="4">
        <f t="shared" si="19"/>
        <v>0</v>
      </c>
      <c r="J105" s="4">
        <f t="shared" si="17"/>
        <v>0</v>
      </c>
      <c r="K105" s="4">
        <f t="shared" si="11"/>
        <v>0</v>
      </c>
      <c r="L105" s="28">
        <f t="shared" si="11"/>
        <v>0</v>
      </c>
    </row>
    <row r="106" spans="1:13" x14ac:dyDescent="0.35">
      <c r="A106" s="3" t="s">
        <v>97</v>
      </c>
      <c r="B106" s="5">
        <f>500</f>
        <v>500</v>
      </c>
      <c r="C106" s="5">
        <f>291.89</f>
        <v>291.89</v>
      </c>
      <c r="D106" s="4"/>
      <c r="E106" s="5">
        <f t="shared" si="12"/>
        <v>791.89</v>
      </c>
      <c r="F106" s="15">
        <f t="shared" si="14"/>
        <v>0</v>
      </c>
      <c r="G106" s="4">
        <f t="shared" si="15"/>
        <v>263.96333333333331</v>
      </c>
      <c r="H106" s="4">
        <v>0</v>
      </c>
      <c r="I106" s="4">
        <f t="shared" si="19"/>
        <v>0</v>
      </c>
      <c r="J106" s="4">
        <f t="shared" si="17"/>
        <v>0</v>
      </c>
      <c r="K106" s="4">
        <f t="shared" si="11"/>
        <v>0</v>
      </c>
      <c r="L106" s="28">
        <v>0</v>
      </c>
    </row>
    <row r="107" spans="1:13" x14ac:dyDescent="0.35">
      <c r="A107" s="3" t="s">
        <v>98</v>
      </c>
      <c r="B107" s="5">
        <f>1878.48</f>
        <v>1878.48</v>
      </c>
      <c r="C107" s="5">
        <f>2523.59</f>
        <v>2523.59</v>
      </c>
      <c r="D107" s="5">
        <f>2553.3</f>
        <v>2553.3000000000002</v>
      </c>
      <c r="E107" s="5">
        <f t="shared" si="12"/>
        <v>6955.37</v>
      </c>
      <c r="F107" s="15">
        <f t="shared" si="14"/>
        <v>0.35923725565350717</v>
      </c>
      <c r="G107" s="5">
        <f t="shared" si="15"/>
        <v>2318.4566666666665</v>
      </c>
      <c r="H107" s="5">
        <f t="shared" si="16"/>
        <v>2993.2766666666139</v>
      </c>
      <c r="I107" s="5">
        <f t="shared" si="19"/>
        <v>2553.3000000000002</v>
      </c>
      <c r="J107" s="5">
        <f t="shared" si="17"/>
        <v>2553.3000000000002</v>
      </c>
      <c r="K107" s="5">
        <f t="shared" si="11"/>
        <v>2553.3000000000002</v>
      </c>
      <c r="L107" s="29">
        <f>J107</f>
        <v>2553.3000000000002</v>
      </c>
    </row>
    <row r="108" spans="1:13" x14ac:dyDescent="0.35">
      <c r="A108" s="3" t="s">
        <v>99</v>
      </c>
      <c r="B108" s="5">
        <f>5882</f>
        <v>5882</v>
      </c>
      <c r="C108" s="5">
        <f>7382</f>
        <v>7382</v>
      </c>
      <c r="D108" s="5">
        <f>7382</f>
        <v>7382</v>
      </c>
      <c r="E108" s="5">
        <f t="shared" si="12"/>
        <v>20646</v>
      </c>
      <c r="F108" s="15">
        <f t="shared" si="14"/>
        <v>0.25501530091805508</v>
      </c>
      <c r="G108" s="5"/>
      <c r="H108" s="5"/>
      <c r="I108" s="5"/>
      <c r="J108" s="5"/>
      <c r="K108" s="5"/>
      <c r="L108" s="29"/>
      <c r="M108" t="s">
        <v>170</v>
      </c>
    </row>
    <row r="109" spans="1:13" x14ac:dyDescent="0.35">
      <c r="A109" s="3" t="s">
        <v>100</v>
      </c>
      <c r="B109" s="5">
        <f>3806.87</f>
        <v>3806.87</v>
      </c>
      <c r="C109" s="5">
        <f>3912.42</f>
        <v>3912.42</v>
      </c>
      <c r="D109" s="5">
        <f>5570.13</f>
        <v>5570.13</v>
      </c>
      <c r="E109" s="5">
        <f t="shared" si="12"/>
        <v>13289.42</v>
      </c>
      <c r="F109" s="15">
        <f t="shared" si="14"/>
        <v>0.46317841166102341</v>
      </c>
      <c r="G109" s="5">
        <f t="shared" si="15"/>
        <v>4429.8066666666664</v>
      </c>
      <c r="H109" s="5">
        <f>D109</f>
        <v>5570.13</v>
      </c>
      <c r="I109" s="20">
        <f>D109*MIN((1+F109),1)*0.7</f>
        <v>3899.0909999999999</v>
      </c>
      <c r="J109" s="20">
        <f>D109*MIN((1+F109/2),1)*0.85</f>
        <v>4734.6104999999998</v>
      </c>
      <c r="K109" s="20">
        <f t="shared" ref="K109" si="26">D109</f>
        <v>5570.13</v>
      </c>
      <c r="L109" s="29">
        <f>I109</f>
        <v>3899.0909999999999</v>
      </c>
    </row>
    <row r="110" spans="1:13" x14ac:dyDescent="0.35">
      <c r="A110" s="3" t="s">
        <v>101</v>
      </c>
      <c r="B110" s="5">
        <f>4062.12</f>
        <v>4062.12</v>
      </c>
      <c r="C110" s="5">
        <f>4779.91</f>
        <v>4779.91</v>
      </c>
      <c r="D110" s="5">
        <f>1142</f>
        <v>1142</v>
      </c>
      <c r="E110" s="5">
        <f t="shared" si="12"/>
        <v>9984.0299999999988</v>
      </c>
      <c r="F110" s="15">
        <f t="shared" si="14"/>
        <v>-0.71886601085147661</v>
      </c>
      <c r="G110" s="5">
        <f t="shared" si="15"/>
        <v>3328.0099999999998</v>
      </c>
      <c r="H110" s="5">
        <f t="shared" si="16"/>
        <v>407.88999999966472</v>
      </c>
      <c r="I110" s="5">
        <f t="shared" si="19"/>
        <v>321.05501560761371</v>
      </c>
      <c r="J110" s="5">
        <f t="shared" si="17"/>
        <v>731.52750780380688</v>
      </c>
      <c r="K110" s="5">
        <f t="shared" si="11"/>
        <v>1142</v>
      </c>
      <c r="L110" s="29">
        <f>J110</f>
        <v>731.52750780380688</v>
      </c>
    </row>
    <row r="111" spans="1:13" x14ac:dyDescent="0.35">
      <c r="A111" s="3" t="s">
        <v>102</v>
      </c>
      <c r="B111" s="5">
        <f>270</f>
        <v>270</v>
      </c>
      <c r="C111" s="4"/>
      <c r="D111" s="4"/>
      <c r="E111" s="5">
        <f t="shared" si="12"/>
        <v>270</v>
      </c>
      <c r="F111" s="15">
        <f t="shared" si="14"/>
        <v>0</v>
      </c>
      <c r="G111" s="4">
        <f t="shared" si="15"/>
        <v>90</v>
      </c>
      <c r="H111" s="4">
        <f t="shared" si="16"/>
        <v>0</v>
      </c>
      <c r="I111" s="4">
        <f t="shared" si="19"/>
        <v>0</v>
      </c>
      <c r="J111" s="4">
        <f t="shared" si="17"/>
        <v>0</v>
      </c>
      <c r="K111" s="4">
        <f t="shared" si="11"/>
        <v>0</v>
      </c>
      <c r="L111" s="28">
        <v>0</v>
      </c>
    </row>
    <row r="112" spans="1:13" x14ac:dyDescent="0.35">
      <c r="A112" s="3" t="s">
        <v>103</v>
      </c>
      <c r="B112" s="5">
        <f>10608.5</f>
        <v>10608.5</v>
      </c>
      <c r="C112" s="5">
        <f>6515.15</f>
        <v>6515.15</v>
      </c>
      <c r="D112" s="5">
        <f>5900.13</f>
        <v>5900.13</v>
      </c>
      <c r="E112" s="5">
        <f t="shared" si="12"/>
        <v>23023.780000000002</v>
      </c>
      <c r="F112" s="15">
        <f t="shared" si="14"/>
        <v>-0.44382994768346135</v>
      </c>
      <c r="G112" s="5">
        <f t="shared" si="15"/>
        <v>7674.5933333333342</v>
      </c>
      <c r="H112" s="5">
        <f t="shared" si="16"/>
        <v>2966.2233333336189</v>
      </c>
      <c r="I112" s="20">
        <f>D112*MIN((1+F112),1)*0.7</f>
        <v>2297.0329275420654</v>
      </c>
      <c r="J112" s="20">
        <f>D112*MIN((1+F112/2),1)*0.85</f>
        <v>3902.1823845791109</v>
      </c>
      <c r="K112" s="20">
        <f t="shared" si="11"/>
        <v>5900.13</v>
      </c>
      <c r="L112" s="29">
        <f>I112</f>
        <v>2297.0329275420654</v>
      </c>
    </row>
    <row r="113" spans="1:13" ht="22" x14ac:dyDescent="0.35">
      <c r="A113" s="3" t="s">
        <v>104</v>
      </c>
      <c r="B113" s="5">
        <f>176.8</f>
        <v>176.8</v>
      </c>
      <c r="C113" s="4"/>
      <c r="D113" s="4"/>
      <c r="E113" s="5">
        <f t="shared" si="12"/>
        <v>176.8</v>
      </c>
      <c r="F113" s="15">
        <f t="shared" si="14"/>
        <v>0</v>
      </c>
      <c r="G113" s="4">
        <f t="shared" si="15"/>
        <v>58.933333333333337</v>
      </c>
      <c r="H113" s="4">
        <f t="shared" si="16"/>
        <v>0</v>
      </c>
      <c r="I113" s="4">
        <f t="shared" si="19"/>
        <v>0</v>
      </c>
      <c r="J113" s="4">
        <f t="shared" si="17"/>
        <v>0</v>
      </c>
      <c r="K113" s="4">
        <f t="shared" si="11"/>
        <v>0</v>
      </c>
      <c r="L113" s="28">
        <v>0</v>
      </c>
    </row>
    <row r="114" spans="1:13" x14ac:dyDescent="0.35">
      <c r="A114" s="3" t="s">
        <v>105</v>
      </c>
      <c r="B114" s="5">
        <f>156.67</f>
        <v>156.66999999999999</v>
      </c>
      <c r="C114" s="5">
        <f>334.04</f>
        <v>334.04</v>
      </c>
      <c r="D114" s="5">
        <f>175.02</f>
        <v>175.02</v>
      </c>
      <c r="E114" s="5">
        <f t="shared" si="12"/>
        <v>665.73</v>
      </c>
      <c r="F114" s="15">
        <f t="shared" si="14"/>
        <v>0.11712516754962676</v>
      </c>
      <c r="G114" s="5">
        <f t="shared" si="15"/>
        <v>221.91</v>
      </c>
      <c r="H114" s="5">
        <f t="shared" si="16"/>
        <v>240.26000000000204</v>
      </c>
      <c r="I114" s="5">
        <f t="shared" si="19"/>
        <v>175.02</v>
      </c>
      <c r="J114" s="5">
        <f t="shared" si="17"/>
        <v>175.02</v>
      </c>
      <c r="K114" s="5">
        <f t="shared" si="11"/>
        <v>175.02</v>
      </c>
      <c r="L114" s="29">
        <f>K114</f>
        <v>175.02</v>
      </c>
    </row>
    <row r="115" spans="1:13" x14ac:dyDescent="0.35">
      <c r="A115" s="3" t="s">
        <v>96</v>
      </c>
      <c r="B115" s="6">
        <f>(((((((((B105)+(B106))+(B107))+(B108))+(B109))+(B110))+(B111))+(B112))+(B113))+(B114)</f>
        <v>27341.439999999995</v>
      </c>
      <c r="C115" s="6">
        <f>(((((((((C105)+(C106))+(C107))+(C108))+(C109))+(C110))+(C111))+(C112))+(C113))+(C114)</f>
        <v>25739</v>
      </c>
      <c r="D115" s="6">
        <f>(((((((((D105)+(D106))+(D107))+(D108))+(D109))+(D110))+(D111))+(D112))+(D113))+(D114)</f>
        <v>22722.58</v>
      </c>
      <c r="E115" s="6">
        <f t="shared" si="12"/>
        <v>75803.01999999999</v>
      </c>
      <c r="F115" s="15">
        <f t="shared" si="14"/>
        <v>-0.1689325799957864</v>
      </c>
      <c r="G115" s="6">
        <f t="shared" ref="G115:L115" si="27">(((((((((G105)+(G106))+(G107))+(G108))+(G109))+(G110))+(G111))+(G112))+(G113))+(G114)</f>
        <v>18385.673333333336</v>
      </c>
      <c r="H115" s="6">
        <f t="shared" si="27"/>
        <v>12177.779999999901</v>
      </c>
      <c r="I115" s="6">
        <f t="shared" si="27"/>
        <v>9245.4989431496797</v>
      </c>
      <c r="J115" s="6">
        <f t="shared" si="27"/>
        <v>12096.640392382918</v>
      </c>
      <c r="K115" s="6">
        <f t="shared" si="27"/>
        <v>15340.580000000002</v>
      </c>
      <c r="L115" s="11">
        <f t="shared" si="27"/>
        <v>9655.971435345873</v>
      </c>
    </row>
    <row r="116" spans="1:13" x14ac:dyDescent="0.35">
      <c r="A116" s="3" t="s">
        <v>107</v>
      </c>
      <c r="B116" s="4"/>
      <c r="C116" s="4"/>
      <c r="D116" s="4"/>
      <c r="E116" s="5">
        <f t="shared" si="12"/>
        <v>0</v>
      </c>
      <c r="F116" s="15">
        <f t="shared" si="14"/>
        <v>0</v>
      </c>
      <c r="G116" s="4">
        <f t="shared" si="15"/>
        <v>0</v>
      </c>
      <c r="H116" s="4">
        <f t="shared" si="16"/>
        <v>0</v>
      </c>
      <c r="I116" s="4">
        <f t="shared" si="19"/>
        <v>0</v>
      </c>
      <c r="J116" s="4">
        <f t="shared" si="17"/>
        <v>0</v>
      </c>
      <c r="K116" s="4">
        <f t="shared" si="11"/>
        <v>0</v>
      </c>
      <c r="L116" s="28">
        <f t="shared" si="11"/>
        <v>0</v>
      </c>
    </row>
    <row r="117" spans="1:13" x14ac:dyDescent="0.35">
      <c r="A117" s="3" t="s">
        <v>108</v>
      </c>
      <c r="B117" s="5">
        <f>67.48</f>
        <v>67.48</v>
      </c>
      <c r="C117" s="4"/>
      <c r="D117" s="5">
        <f>420</f>
        <v>420</v>
      </c>
      <c r="E117" s="5">
        <f t="shared" si="12"/>
        <v>487.48</v>
      </c>
      <c r="F117" s="15">
        <f t="shared" si="14"/>
        <v>5.224066390041493</v>
      </c>
      <c r="G117" s="5">
        <f t="shared" si="15"/>
        <v>162.49333333333334</v>
      </c>
      <c r="H117" s="5">
        <f t="shared" si="16"/>
        <v>596.26000000000931</v>
      </c>
      <c r="I117" s="5">
        <f t="shared" si="19"/>
        <v>420</v>
      </c>
      <c r="J117" s="5">
        <f t="shared" si="17"/>
        <v>420</v>
      </c>
      <c r="K117" s="5">
        <f t="shared" si="11"/>
        <v>420</v>
      </c>
      <c r="L117" s="29">
        <f>J117</f>
        <v>420</v>
      </c>
    </row>
    <row r="118" spans="1:13" x14ac:dyDescent="0.35">
      <c r="A118" s="3" t="s">
        <v>109</v>
      </c>
      <c r="B118" s="4"/>
      <c r="C118" s="5">
        <f>35</f>
        <v>35</v>
      </c>
      <c r="D118" s="4"/>
      <c r="E118" s="5">
        <f t="shared" si="12"/>
        <v>35</v>
      </c>
      <c r="F118" s="15">
        <f t="shared" si="14"/>
        <v>0</v>
      </c>
      <c r="G118" s="4">
        <f t="shared" si="15"/>
        <v>11.666666666666666</v>
      </c>
      <c r="H118" s="4">
        <f t="shared" si="16"/>
        <v>0</v>
      </c>
      <c r="I118" s="4">
        <f t="shared" si="19"/>
        <v>0</v>
      </c>
      <c r="J118" s="4">
        <f t="shared" si="17"/>
        <v>0</v>
      </c>
      <c r="K118" s="4">
        <f t="shared" si="11"/>
        <v>0</v>
      </c>
      <c r="L118" s="28">
        <v>0</v>
      </c>
    </row>
    <row r="119" spans="1:13" x14ac:dyDescent="0.35">
      <c r="A119" s="3" t="s">
        <v>107</v>
      </c>
      <c r="B119" s="6">
        <f>((B116)+(B117))+(B118)</f>
        <v>67.48</v>
      </c>
      <c r="C119" s="6">
        <f>((C116)+(C117))+(C118)</f>
        <v>35</v>
      </c>
      <c r="D119" s="6">
        <f>((D116)+(D117))+(D118)</f>
        <v>420</v>
      </c>
      <c r="E119" s="6">
        <f t="shared" si="12"/>
        <v>522.48</v>
      </c>
      <c r="F119" s="15">
        <f t="shared" si="14"/>
        <v>5.224066390041493</v>
      </c>
      <c r="G119" s="6">
        <f t="shared" ref="G119:L119" si="28">((G116)+(G117))+(G118)</f>
        <v>174.16</v>
      </c>
      <c r="H119" s="6">
        <f t="shared" si="28"/>
        <v>596.26000000000931</v>
      </c>
      <c r="I119" s="6">
        <f t="shared" si="28"/>
        <v>420</v>
      </c>
      <c r="J119" s="6">
        <f t="shared" si="28"/>
        <v>420</v>
      </c>
      <c r="K119" s="6">
        <f t="shared" si="28"/>
        <v>420</v>
      </c>
      <c r="L119" s="11">
        <f t="shared" si="28"/>
        <v>420</v>
      </c>
    </row>
    <row r="120" spans="1:13" x14ac:dyDescent="0.35">
      <c r="A120" s="3" t="s">
        <v>111</v>
      </c>
      <c r="B120" s="5">
        <f>2926.52</f>
        <v>2926.52</v>
      </c>
      <c r="C120" s="5">
        <f>1702.13</f>
        <v>1702.13</v>
      </c>
      <c r="D120" s="23">
        <f>9977.56</f>
        <v>9977.56</v>
      </c>
      <c r="E120" s="5">
        <f t="shared" si="12"/>
        <v>14606.21</v>
      </c>
      <c r="F120" s="15">
        <f t="shared" si="14"/>
        <v>2.4093599223651294</v>
      </c>
      <c r="G120" s="5">
        <f t="shared" si="15"/>
        <v>4868.7366666666667</v>
      </c>
      <c r="H120" s="5">
        <f t="shared" si="16"/>
        <v>11919.776666666381</v>
      </c>
      <c r="I120" s="5">
        <f>I127*$H$1</f>
        <v>4751.9995096939765</v>
      </c>
      <c r="J120" s="5">
        <f>J127*$H$1</f>
        <v>7364.779754846988</v>
      </c>
      <c r="K120" s="5">
        <f>K127*$H$1</f>
        <v>9977.56</v>
      </c>
      <c r="L120" s="29">
        <f>D120</f>
        <v>9977.56</v>
      </c>
    </row>
    <row r="121" spans="1:13" x14ac:dyDescent="0.35">
      <c r="A121" s="3" t="s">
        <v>112</v>
      </c>
      <c r="B121" s="5">
        <f>943.24</f>
        <v>943.24</v>
      </c>
      <c r="C121" s="5">
        <f>841.7</f>
        <v>841.7</v>
      </c>
      <c r="D121" s="4"/>
      <c r="E121" s="5">
        <f t="shared" si="12"/>
        <v>1784.94</v>
      </c>
      <c r="F121" s="15">
        <f t="shared" si="14"/>
        <v>0</v>
      </c>
      <c r="G121" s="4">
        <f t="shared" si="15"/>
        <v>594.98</v>
      </c>
      <c r="H121" s="4">
        <f t="shared" si="16"/>
        <v>638.61999999999534</v>
      </c>
      <c r="I121" s="4">
        <f t="shared" si="19"/>
        <v>0</v>
      </c>
      <c r="J121" s="4">
        <f t="shared" si="17"/>
        <v>0</v>
      </c>
      <c r="K121" s="4">
        <f t="shared" si="11"/>
        <v>0</v>
      </c>
      <c r="L121" s="29"/>
    </row>
    <row r="122" spans="1:13" x14ac:dyDescent="0.35">
      <c r="A122" s="3" t="s">
        <v>113</v>
      </c>
      <c r="B122" s="5">
        <f>4045.5</f>
        <v>4045.5</v>
      </c>
      <c r="C122" s="5">
        <f>3598.94</f>
        <v>3598.94</v>
      </c>
      <c r="D122" s="4"/>
      <c r="E122" s="5">
        <f t="shared" si="12"/>
        <v>7644.4400000000005</v>
      </c>
      <c r="F122" s="15">
        <f t="shared" si="14"/>
        <v>0</v>
      </c>
      <c r="G122" s="4">
        <f t="shared" si="15"/>
        <v>2548.146666666667</v>
      </c>
      <c r="H122" s="4">
        <f t="shared" si="16"/>
        <v>2705.8199999999488</v>
      </c>
      <c r="I122" s="4">
        <f t="shared" si="19"/>
        <v>0</v>
      </c>
      <c r="J122" s="4">
        <f t="shared" si="17"/>
        <v>0</v>
      </c>
      <c r="K122" s="4">
        <f t="shared" si="11"/>
        <v>0</v>
      </c>
      <c r="L122" s="29"/>
    </row>
    <row r="123" spans="1:13" x14ac:dyDescent="0.35">
      <c r="A123" s="3" t="s">
        <v>114</v>
      </c>
      <c r="B123" s="5">
        <f>960.64</f>
        <v>960.64</v>
      </c>
      <c r="C123" s="5">
        <f>874.95</f>
        <v>874.95</v>
      </c>
      <c r="D123" s="4"/>
      <c r="E123" s="5">
        <f t="shared" si="12"/>
        <v>1835.5900000000001</v>
      </c>
      <c r="F123" s="15">
        <f t="shared" si="14"/>
        <v>0</v>
      </c>
      <c r="G123" s="4">
        <f t="shared" si="15"/>
        <v>611.86333333333334</v>
      </c>
      <c r="H123" s="4">
        <f t="shared" si="16"/>
        <v>703.57000000000698</v>
      </c>
      <c r="I123" s="4">
        <f t="shared" si="19"/>
        <v>0</v>
      </c>
      <c r="J123" s="4">
        <f t="shared" si="17"/>
        <v>0</v>
      </c>
      <c r="K123" s="4">
        <f t="shared" si="11"/>
        <v>0</v>
      </c>
      <c r="L123" s="29"/>
    </row>
    <row r="124" spans="1:13" x14ac:dyDescent="0.35">
      <c r="A124" s="3" t="s">
        <v>115</v>
      </c>
      <c r="B124" s="5">
        <f>4095.1</f>
        <v>4095.1</v>
      </c>
      <c r="C124" s="5">
        <f>3565.69</f>
        <v>3565.69</v>
      </c>
      <c r="D124" s="4"/>
      <c r="E124" s="5">
        <f t="shared" si="12"/>
        <v>7660.79</v>
      </c>
      <c r="F124" s="15">
        <f t="shared" si="14"/>
        <v>0</v>
      </c>
      <c r="G124" s="4">
        <f t="shared" si="15"/>
        <v>2553.5966666666668</v>
      </c>
      <c r="H124" s="4">
        <f t="shared" si="16"/>
        <v>2506.8700000001118</v>
      </c>
      <c r="I124" s="4">
        <f t="shared" si="19"/>
        <v>0</v>
      </c>
      <c r="J124" s="4">
        <f t="shared" si="17"/>
        <v>0</v>
      </c>
      <c r="K124" s="4">
        <f t="shared" si="11"/>
        <v>0</v>
      </c>
      <c r="L124" s="29"/>
    </row>
    <row r="125" spans="1:13" x14ac:dyDescent="0.35">
      <c r="A125" s="3" t="s">
        <v>116</v>
      </c>
      <c r="B125" s="5">
        <f>217.62</f>
        <v>217.62</v>
      </c>
      <c r="C125" s="5">
        <f>215.18</f>
        <v>215.18</v>
      </c>
      <c r="D125" s="4"/>
      <c r="E125" s="5">
        <f t="shared" si="12"/>
        <v>432.8</v>
      </c>
      <c r="F125" s="15">
        <f t="shared" si="14"/>
        <v>0</v>
      </c>
      <c r="G125" s="4">
        <f t="shared" si="15"/>
        <v>144.26666666666668</v>
      </c>
      <c r="H125" s="4">
        <f t="shared" si="16"/>
        <v>210.30000000000018</v>
      </c>
      <c r="I125" s="4">
        <f t="shared" si="19"/>
        <v>0</v>
      </c>
      <c r="J125" s="4">
        <f t="shared" si="17"/>
        <v>0</v>
      </c>
      <c r="K125" s="4">
        <f t="shared" si="11"/>
        <v>0</v>
      </c>
      <c r="L125" s="29"/>
    </row>
    <row r="126" spans="1:13" x14ac:dyDescent="0.35">
      <c r="A126" s="3" t="s">
        <v>117</v>
      </c>
      <c r="B126" s="5">
        <f>1634.7</f>
        <v>1634.7</v>
      </c>
      <c r="C126" s="5">
        <f>1502.86</f>
        <v>1502.86</v>
      </c>
      <c r="D126" s="4"/>
      <c r="E126" s="5">
        <f t="shared" si="12"/>
        <v>3137.56</v>
      </c>
      <c r="F126" s="15">
        <f t="shared" si="14"/>
        <v>0</v>
      </c>
      <c r="G126" s="4">
        <f t="shared" si="15"/>
        <v>1045.8533333333332</v>
      </c>
      <c r="H126" s="4">
        <f t="shared" si="16"/>
        <v>1239.179999999993</v>
      </c>
      <c r="I126" s="4">
        <f t="shared" si="19"/>
        <v>0</v>
      </c>
      <c r="J126" s="4">
        <f t="shared" si="17"/>
        <v>0</v>
      </c>
      <c r="K126" s="4">
        <f t="shared" ref="K126:L156" si="29">D126</f>
        <v>0</v>
      </c>
      <c r="L126" s="29"/>
    </row>
    <row r="127" spans="1:13" x14ac:dyDescent="0.35">
      <c r="A127" s="3" t="s">
        <v>118</v>
      </c>
      <c r="B127" s="5">
        <f>57729.66</f>
        <v>57729.66</v>
      </c>
      <c r="C127" s="5">
        <f>57120.41</f>
        <v>57120.41</v>
      </c>
      <c r="D127" s="5">
        <f>27494.83</f>
        <v>27494.83</v>
      </c>
      <c r="E127" s="5">
        <f t="shared" ref="E127:E158" si="30">((B127)+(C127))+(D127)</f>
        <v>142344.90000000002</v>
      </c>
      <c r="F127" s="15">
        <f t="shared" si="14"/>
        <v>-0.52373130207245289</v>
      </c>
      <c r="G127" s="5">
        <f t="shared" si="15"/>
        <v>47448.30000000001</v>
      </c>
      <c r="H127" s="5">
        <f t="shared" si="16"/>
        <v>17213.469999998808</v>
      </c>
      <c r="I127" s="5">
        <f t="shared" si="19"/>
        <v>13094.926883839262</v>
      </c>
      <c r="J127" s="5">
        <f t="shared" si="17"/>
        <v>20294.878441919631</v>
      </c>
      <c r="K127" s="5">
        <f t="shared" si="29"/>
        <v>27494.83</v>
      </c>
      <c r="L127" s="29">
        <f>D127</f>
        <v>27494.83</v>
      </c>
      <c r="M127" t="s">
        <v>177</v>
      </c>
    </row>
    <row r="128" spans="1:13" hidden="1" x14ac:dyDescent="0.35">
      <c r="A128" s="3" t="s">
        <v>119</v>
      </c>
      <c r="B128" s="4"/>
      <c r="C128" s="4"/>
      <c r="D128" s="5"/>
      <c r="E128" s="5">
        <f t="shared" si="30"/>
        <v>0</v>
      </c>
      <c r="F128" s="15">
        <f t="shared" si="14"/>
        <v>0</v>
      </c>
      <c r="G128" s="5">
        <f t="shared" si="15"/>
        <v>0</v>
      </c>
      <c r="H128" s="5">
        <f t="shared" si="16"/>
        <v>0</v>
      </c>
      <c r="I128" s="5">
        <f t="shared" si="19"/>
        <v>0</v>
      </c>
      <c r="J128" s="5">
        <f t="shared" si="17"/>
        <v>0</v>
      </c>
      <c r="K128" s="5">
        <f t="shared" si="29"/>
        <v>0</v>
      </c>
      <c r="L128" s="29">
        <f t="shared" si="29"/>
        <v>0</v>
      </c>
    </row>
    <row r="129" spans="1:13" x14ac:dyDescent="0.35">
      <c r="A129" s="3" t="s">
        <v>111</v>
      </c>
      <c r="B129" s="6">
        <f>((((((((B120)+(B121))+(B122))+(B123))+(B124))+(B125))+(B126))+(B127))+(B128)</f>
        <v>72552.98000000001</v>
      </c>
      <c r="C129" s="6">
        <f>((((((((C120)+(C121))+(C122))+(C123))+(C124))+(C125))+(C126))+(C127))+(C128)</f>
        <v>69421.86</v>
      </c>
      <c r="D129" s="6">
        <f>((((((((D120)+(D121))+(D122))+(D123))+(D124))+(D125))+(D126))+(D127))+(D128)</f>
        <v>37472.39</v>
      </c>
      <c r="E129" s="6">
        <f t="shared" si="30"/>
        <v>179447.23000000004</v>
      </c>
      <c r="F129" s="15">
        <f t="shared" si="14"/>
        <v>-0.48351687277352368</v>
      </c>
      <c r="G129" s="6">
        <f t="shared" ref="G129:L129" si="31">((((((((G120)+(G121))+(G122))+(G123))+(G124))+(G125))+(G126))+(G127))+(G128)</f>
        <v>59815.743333333347</v>
      </c>
      <c r="H129" s="6">
        <f t="shared" si="31"/>
        <v>37137.606666665248</v>
      </c>
      <c r="I129" s="6">
        <f t="shared" si="31"/>
        <v>17846.926393533238</v>
      </c>
      <c r="J129" s="6">
        <f t="shared" si="31"/>
        <v>27659.658196766621</v>
      </c>
      <c r="K129" s="6">
        <f t="shared" si="31"/>
        <v>37472.39</v>
      </c>
      <c r="L129" s="11">
        <f t="shared" si="31"/>
        <v>37472.39</v>
      </c>
    </row>
    <row r="130" spans="1:13" x14ac:dyDescent="0.35">
      <c r="A130" s="3" t="s">
        <v>121</v>
      </c>
      <c r="B130" s="5">
        <f>2300</f>
        <v>2300</v>
      </c>
      <c r="C130" s="4"/>
      <c r="D130" s="4"/>
      <c r="E130" s="5">
        <v>0</v>
      </c>
      <c r="F130" s="15">
        <f t="shared" si="14"/>
        <v>0</v>
      </c>
      <c r="G130" s="4">
        <f t="shared" si="15"/>
        <v>0</v>
      </c>
      <c r="H130" s="4">
        <f t="shared" si="16"/>
        <v>0</v>
      </c>
      <c r="I130" s="4">
        <f t="shared" si="19"/>
        <v>0</v>
      </c>
      <c r="J130" s="4">
        <f t="shared" si="17"/>
        <v>0</v>
      </c>
      <c r="K130" s="4">
        <f t="shared" si="29"/>
        <v>0</v>
      </c>
      <c r="L130" s="28">
        <f t="shared" si="29"/>
        <v>0</v>
      </c>
    </row>
    <row r="131" spans="1:13" x14ac:dyDescent="0.35">
      <c r="A131" s="3" t="s">
        <v>122</v>
      </c>
      <c r="B131" s="5">
        <f>2656</f>
        <v>2656</v>
      </c>
      <c r="C131" s="5">
        <f>2294.4</f>
        <v>2294.4</v>
      </c>
      <c r="D131" s="5">
        <f>-88</f>
        <v>-88</v>
      </c>
      <c r="E131" s="7">
        <v>0</v>
      </c>
      <c r="F131" s="15">
        <f t="shared" si="14"/>
        <v>-1.0331325301204819</v>
      </c>
      <c r="G131" s="5">
        <f t="shared" si="15"/>
        <v>0</v>
      </c>
      <c r="H131" s="5">
        <v>0</v>
      </c>
      <c r="I131" s="5">
        <v>0</v>
      </c>
      <c r="J131" s="5">
        <v>0</v>
      </c>
      <c r="K131" s="5">
        <v>0</v>
      </c>
      <c r="L131" s="29">
        <v>0</v>
      </c>
    </row>
    <row r="132" spans="1:13" x14ac:dyDescent="0.35">
      <c r="A132" s="3" t="s">
        <v>121</v>
      </c>
      <c r="B132" s="6">
        <f>(B130)+(B131)</f>
        <v>4956</v>
      </c>
      <c r="C132" s="6">
        <f>(C130)+(C131)</f>
        <v>2294.4</v>
      </c>
      <c r="D132" s="6">
        <f>(D130)+(D131)</f>
        <v>-88</v>
      </c>
      <c r="E132" s="6">
        <f t="shared" si="30"/>
        <v>7162.4</v>
      </c>
      <c r="F132" s="15">
        <f t="shared" si="14"/>
        <v>-1.0177562550443906</v>
      </c>
      <c r="G132" s="6">
        <f t="shared" ref="G132:L132" si="32">(G130)+(G131)</f>
        <v>0</v>
      </c>
      <c r="H132" s="6">
        <f t="shared" si="32"/>
        <v>0</v>
      </c>
      <c r="I132" s="6">
        <f t="shared" si="32"/>
        <v>0</v>
      </c>
      <c r="J132" s="6">
        <f t="shared" si="32"/>
        <v>0</v>
      </c>
      <c r="K132" s="6">
        <f t="shared" si="32"/>
        <v>0</v>
      </c>
      <c r="L132" s="11">
        <f t="shared" si="32"/>
        <v>0</v>
      </c>
    </row>
    <row r="133" spans="1:13" x14ac:dyDescent="0.35">
      <c r="A133" s="3" t="s">
        <v>124</v>
      </c>
      <c r="B133" s="4"/>
      <c r="C133" s="5">
        <f>970.5</f>
        <v>970.5</v>
      </c>
      <c r="D133" s="5">
        <f>500</f>
        <v>500</v>
      </c>
      <c r="E133" s="5">
        <f t="shared" si="30"/>
        <v>1470.5</v>
      </c>
      <c r="F133" s="15">
        <f t="shared" si="14"/>
        <v>0</v>
      </c>
      <c r="G133" s="5">
        <f t="shared" si="15"/>
        <v>490.16666666666669</v>
      </c>
      <c r="H133" s="5">
        <f t="shared" si="16"/>
        <v>29.5</v>
      </c>
      <c r="I133" s="5">
        <f t="shared" si="19"/>
        <v>500</v>
      </c>
      <c r="J133" s="5">
        <f t="shared" si="17"/>
        <v>500</v>
      </c>
      <c r="K133" s="5">
        <f t="shared" si="29"/>
        <v>500</v>
      </c>
      <c r="L133" s="29">
        <f>K133</f>
        <v>500</v>
      </c>
    </row>
    <row r="134" spans="1:13" ht="22" x14ac:dyDescent="0.35">
      <c r="A134" s="3" t="s">
        <v>125</v>
      </c>
      <c r="B134" s="5">
        <f>919.54</f>
        <v>919.54</v>
      </c>
      <c r="C134" s="5">
        <f>607.39</f>
        <v>607.39</v>
      </c>
      <c r="D134" s="5">
        <f>915.4</f>
        <v>915.4</v>
      </c>
      <c r="E134" s="5">
        <f t="shared" si="30"/>
        <v>2442.33</v>
      </c>
      <c r="F134" s="15">
        <f t="shared" si="14"/>
        <v>-4.5022511255627664E-3</v>
      </c>
      <c r="G134" s="5">
        <f t="shared" si="15"/>
        <v>814.11</v>
      </c>
      <c r="H134" s="5">
        <f t="shared" si="16"/>
        <v>809.96999999999935</v>
      </c>
      <c r="I134" s="5">
        <f t="shared" si="19"/>
        <v>911.27863931965976</v>
      </c>
      <c r="J134" s="5">
        <f t="shared" si="17"/>
        <v>913.33931965982993</v>
      </c>
      <c r="K134" s="5">
        <f t="shared" si="29"/>
        <v>915.4</v>
      </c>
      <c r="L134" s="29">
        <f>J134</f>
        <v>913.33931965982993</v>
      </c>
    </row>
    <row r="135" spans="1:13" x14ac:dyDescent="0.35">
      <c r="A135" s="3" t="s">
        <v>126</v>
      </c>
      <c r="B135" s="5">
        <f>101.91</f>
        <v>101.91</v>
      </c>
      <c r="C135" s="5">
        <f>4225</f>
        <v>4225</v>
      </c>
      <c r="D135" s="5">
        <f>1136</f>
        <v>1136</v>
      </c>
      <c r="E135" s="7">
        <v>0</v>
      </c>
      <c r="F135" s="15">
        <f t="shared" si="14"/>
        <v>10.147090570110882</v>
      </c>
      <c r="G135" s="5">
        <f t="shared" si="15"/>
        <v>0</v>
      </c>
      <c r="H135" s="5">
        <v>0</v>
      </c>
      <c r="I135" s="5">
        <v>0</v>
      </c>
      <c r="J135" s="5">
        <v>0</v>
      </c>
      <c r="K135" s="5">
        <v>0</v>
      </c>
      <c r="L135" s="29">
        <v>0</v>
      </c>
    </row>
    <row r="136" spans="1:13" x14ac:dyDescent="0.35">
      <c r="A136" s="3" t="s">
        <v>127</v>
      </c>
      <c r="B136" s="4"/>
      <c r="C136" s="4"/>
      <c r="D136" s="4"/>
      <c r="E136" s="5">
        <f t="shared" si="30"/>
        <v>0</v>
      </c>
      <c r="F136" s="15">
        <f t="shared" si="14"/>
        <v>0</v>
      </c>
      <c r="G136" s="4">
        <f t="shared" si="15"/>
        <v>0</v>
      </c>
      <c r="H136" s="4">
        <f t="shared" si="16"/>
        <v>0</v>
      </c>
      <c r="I136" s="4">
        <f t="shared" si="19"/>
        <v>0</v>
      </c>
      <c r="J136" s="4">
        <f t="shared" si="17"/>
        <v>0</v>
      </c>
      <c r="K136" s="4">
        <f t="shared" si="29"/>
        <v>0</v>
      </c>
      <c r="L136" s="28">
        <f t="shared" si="29"/>
        <v>0</v>
      </c>
    </row>
    <row r="137" spans="1:13" x14ac:dyDescent="0.35">
      <c r="A137" s="3" t="s">
        <v>174</v>
      </c>
      <c r="B137" s="5">
        <f>17148.1</f>
        <v>17148.099999999999</v>
      </c>
      <c r="C137" s="5">
        <f>4841.76</f>
        <v>4841.76</v>
      </c>
      <c r="D137" s="5">
        <f>5669.37+600</f>
        <v>6269.37</v>
      </c>
      <c r="E137" s="5">
        <f t="shared" si="30"/>
        <v>28259.23</v>
      </c>
      <c r="F137" s="15">
        <f t="shared" si="14"/>
        <v>-0.63439856310611675</v>
      </c>
      <c r="G137" s="5">
        <f t="shared" si="15"/>
        <v>9419.7433333333338</v>
      </c>
      <c r="H137" s="5">
        <f>-IFERROR(_xlfn.FORECAST.LINEAR($H$4,B137:D137,$B$4:$D$4),0)</f>
        <v>1458.9866666663438</v>
      </c>
      <c r="I137" s="5">
        <f t="shared" si="19"/>
        <v>2292.0906804194046</v>
      </c>
      <c r="J137" s="5">
        <f t="shared" si="17"/>
        <v>4280.7303402097023</v>
      </c>
      <c r="K137" s="5">
        <f t="shared" si="29"/>
        <v>6269.37</v>
      </c>
      <c r="L137" s="29">
        <f>3000-600</f>
        <v>2400</v>
      </c>
      <c r="M137" t="s">
        <v>178</v>
      </c>
    </row>
    <row r="138" spans="1:13" ht="22" x14ac:dyDescent="0.35">
      <c r="A138" s="3" t="s">
        <v>173</v>
      </c>
      <c r="B138" s="5">
        <f>4715</f>
        <v>4715</v>
      </c>
      <c r="C138" s="5">
        <f>679.45</f>
        <v>679.45</v>
      </c>
      <c r="D138" s="4"/>
      <c r="E138" s="5">
        <f t="shared" si="30"/>
        <v>5394.45</v>
      </c>
      <c r="F138" s="15">
        <f t="shared" ref="F138:F158" si="33">IF(D138=0,0,IFERROR((D138-B138)/B138,0))</f>
        <v>0</v>
      </c>
      <c r="G138" s="4">
        <f t="shared" ref="G138:G156" si="34">E138/3</f>
        <v>1798.1499999999999</v>
      </c>
      <c r="H138" s="4">
        <v>0</v>
      </c>
      <c r="I138" s="4">
        <f t="shared" si="19"/>
        <v>0</v>
      </c>
      <c r="J138" s="4">
        <f t="shared" si="17"/>
        <v>0</v>
      </c>
      <c r="K138" s="4">
        <f t="shared" si="29"/>
        <v>0</v>
      </c>
      <c r="L138" s="28">
        <f>6300+600</f>
        <v>6900</v>
      </c>
      <c r="M138" t="s">
        <v>180</v>
      </c>
    </row>
    <row r="139" spans="1:13" x14ac:dyDescent="0.35">
      <c r="A139" s="3" t="s">
        <v>130</v>
      </c>
      <c r="B139" s="5">
        <f>26629.29</f>
        <v>26629.29</v>
      </c>
      <c r="C139" s="5">
        <f>11808.59</f>
        <v>11808.59</v>
      </c>
      <c r="D139" s="5">
        <f>6215.59+1500</f>
        <v>7715.59</v>
      </c>
      <c r="E139" s="5">
        <f t="shared" si="30"/>
        <v>46153.47</v>
      </c>
      <c r="F139" s="15">
        <f t="shared" si="33"/>
        <v>-0.71025926714531251</v>
      </c>
      <c r="G139" s="5">
        <f t="shared" si="34"/>
        <v>15384.49</v>
      </c>
      <c r="H139" s="5">
        <f>D139</f>
        <v>7715.59</v>
      </c>
      <c r="I139" s="5">
        <f t="shared" si="19"/>
        <v>2235.5207010062982</v>
      </c>
      <c r="J139" s="5">
        <f t="shared" ref="J139:J156" si="35">D139*MIN((1+F139/2),1)</f>
        <v>4975.5553505031494</v>
      </c>
      <c r="K139" s="5">
        <f t="shared" si="29"/>
        <v>7715.59</v>
      </c>
      <c r="L139" s="29">
        <f>13140-2700</f>
        <v>10440</v>
      </c>
      <c r="M139" t="s">
        <v>178</v>
      </c>
    </row>
    <row r="140" spans="1:13" x14ac:dyDescent="0.35">
      <c r="A140" s="3" t="s">
        <v>80</v>
      </c>
      <c r="B140" s="5">
        <f>2195.72</f>
        <v>2195.7199999999998</v>
      </c>
      <c r="C140" s="5">
        <f>233.46</f>
        <v>233.46</v>
      </c>
      <c r="D140" s="5">
        <f>949.89</f>
        <v>949.89</v>
      </c>
      <c r="E140" s="5">
        <f t="shared" si="30"/>
        <v>3379.0699999999997</v>
      </c>
      <c r="F140" s="15">
        <f t="shared" si="33"/>
        <v>-0.56739019547118941</v>
      </c>
      <c r="G140" s="5">
        <f t="shared" si="34"/>
        <v>1126.3566666666666</v>
      </c>
      <c r="H140" s="5">
        <f>D140</f>
        <v>949.89</v>
      </c>
      <c r="I140" s="5">
        <f t="shared" si="19"/>
        <v>410.93172722387186</v>
      </c>
      <c r="J140" s="5">
        <f t="shared" si="35"/>
        <v>680.41086361193584</v>
      </c>
      <c r="K140" s="5">
        <f t="shared" si="29"/>
        <v>949.89</v>
      </c>
      <c r="L140" s="29">
        <f>I140</f>
        <v>410.93172722387186</v>
      </c>
    </row>
    <row r="141" spans="1:13" x14ac:dyDescent="0.35">
      <c r="A141" s="3" t="s">
        <v>131</v>
      </c>
      <c r="B141" s="4"/>
      <c r="C141" s="5">
        <f>5184.09</f>
        <v>5184.09</v>
      </c>
      <c r="D141" s="4"/>
      <c r="E141" s="5">
        <f t="shared" si="30"/>
        <v>5184.09</v>
      </c>
      <c r="F141" s="15">
        <f t="shared" si="33"/>
        <v>0</v>
      </c>
      <c r="G141" s="4">
        <f t="shared" si="34"/>
        <v>1728.03</v>
      </c>
      <c r="H141" s="4">
        <f t="shared" ref="H141:H156" si="36">IFERROR(_xlfn.FORECAST.LINEAR($H$4,B141:D141,$B$4:$D$4),0)</f>
        <v>0</v>
      </c>
      <c r="I141" s="4">
        <f t="shared" si="19"/>
        <v>0</v>
      </c>
      <c r="J141" s="4">
        <f t="shared" si="35"/>
        <v>0</v>
      </c>
      <c r="K141" s="4">
        <f t="shared" si="29"/>
        <v>0</v>
      </c>
      <c r="L141" s="28">
        <v>0</v>
      </c>
    </row>
    <row r="142" spans="1:13" x14ac:dyDescent="0.35">
      <c r="A142" s="3" t="s">
        <v>132</v>
      </c>
      <c r="B142" s="4"/>
      <c r="C142" s="5">
        <f>398.5</f>
        <v>398.5</v>
      </c>
      <c r="D142" s="4"/>
      <c r="E142" s="5">
        <f t="shared" si="30"/>
        <v>398.5</v>
      </c>
      <c r="F142" s="15">
        <f t="shared" si="33"/>
        <v>0</v>
      </c>
      <c r="G142" s="4">
        <f t="shared" si="34"/>
        <v>132.83333333333334</v>
      </c>
      <c r="H142" s="4">
        <f t="shared" si="36"/>
        <v>0</v>
      </c>
      <c r="I142" s="4">
        <f t="shared" si="19"/>
        <v>0</v>
      </c>
      <c r="J142" s="4">
        <f t="shared" si="35"/>
        <v>0</v>
      </c>
      <c r="K142" s="4">
        <f t="shared" si="29"/>
        <v>0</v>
      </c>
      <c r="L142" s="28">
        <v>0</v>
      </c>
    </row>
    <row r="143" spans="1:13" x14ac:dyDescent="0.35">
      <c r="A143" s="3" t="s">
        <v>131</v>
      </c>
      <c r="B143" s="6">
        <f>(B141)+(B142)</f>
        <v>0</v>
      </c>
      <c r="C143" s="6">
        <f>(C141)+(C142)</f>
        <v>5582.59</v>
      </c>
      <c r="D143" s="6">
        <f>(D141)+(D142)</f>
        <v>0</v>
      </c>
      <c r="E143" s="6">
        <f t="shared" si="30"/>
        <v>5582.59</v>
      </c>
      <c r="F143" s="15">
        <f t="shared" si="33"/>
        <v>0</v>
      </c>
      <c r="G143" s="6">
        <f t="shared" ref="G143:L143" si="37">(G141)+(G142)</f>
        <v>1860.8633333333332</v>
      </c>
      <c r="H143" s="6">
        <f t="shared" si="37"/>
        <v>0</v>
      </c>
      <c r="I143" s="6">
        <f t="shared" si="37"/>
        <v>0</v>
      </c>
      <c r="J143" s="6">
        <f t="shared" si="37"/>
        <v>0</v>
      </c>
      <c r="K143" s="6">
        <f t="shared" si="37"/>
        <v>0</v>
      </c>
      <c r="L143" s="11">
        <f t="shared" si="37"/>
        <v>0</v>
      </c>
    </row>
    <row r="144" spans="1:13" x14ac:dyDescent="0.35">
      <c r="A144" s="3" t="s">
        <v>134</v>
      </c>
      <c r="B144" s="4"/>
      <c r="C144" s="5">
        <f>16534.02</f>
        <v>16534.02</v>
      </c>
      <c r="D144" s="5">
        <f>5697.35</f>
        <v>5697.35</v>
      </c>
      <c r="E144" s="7">
        <v>0</v>
      </c>
      <c r="F144" s="15">
        <f t="shared" si="33"/>
        <v>0</v>
      </c>
      <c r="G144" s="5">
        <f t="shared" si="34"/>
        <v>0</v>
      </c>
      <c r="H144" s="5">
        <v>0</v>
      </c>
      <c r="I144" s="5">
        <v>0</v>
      </c>
      <c r="J144" s="5">
        <v>0</v>
      </c>
      <c r="K144" s="5">
        <v>0</v>
      </c>
      <c r="L144" s="29">
        <v>0</v>
      </c>
    </row>
    <row r="145" spans="1:12" x14ac:dyDescent="0.35">
      <c r="A145" s="3" t="s">
        <v>135</v>
      </c>
      <c r="B145" s="5">
        <f>102</f>
        <v>102</v>
      </c>
      <c r="C145" s="5">
        <f>254.5</f>
        <v>254.5</v>
      </c>
      <c r="D145" s="5">
        <f>44</f>
        <v>44</v>
      </c>
      <c r="E145" s="5">
        <f t="shared" si="30"/>
        <v>400.5</v>
      </c>
      <c r="F145" s="15">
        <f t="shared" si="33"/>
        <v>-0.56862745098039214</v>
      </c>
      <c r="G145" s="5">
        <f t="shared" si="34"/>
        <v>133.5</v>
      </c>
      <c r="H145" s="5">
        <f t="shared" si="36"/>
        <v>75.5</v>
      </c>
      <c r="I145" s="5">
        <f t="shared" ref="I145:I156" si="38">D145*MIN((1+F145),1)</f>
        <v>18.980392156862745</v>
      </c>
      <c r="J145" s="5">
        <f t="shared" si="35"/>
        <v>31.490196078431374</v>
      </c>
      <c r="K145" s="5">
        <f t="shared" si="29"/>
        <v>44</v>
      </c>
      <c r="L145" s="29">
        <v>0</v>
      </c>
    </row>
    <row r="146" spans="1:12" x14ac:dyDescent="0.35">
      <c r="A146" s="3" t="s">
        <v>136</v>
      </c>
      <c r="B146" s="4"/>
      <c r="C146" s="5">
        <f>1016.88</f>
        <v>1016.88</v>
      </c>
      <c r="D146" s="5">
        <f>692.64</f>
        <v>692.64</v>
      </c>
      <c r="E146" s="5">
        <f t="shared" si="30"/>
        <v>1709.52</v>
      </c>
      <c r="F146" s="15">
        <f t="shared" si="33"/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29">
        <v>0</v>
      </c>
    </row>
    <row r="147" spans="1:12" x14ac:dyDescent="0.35">
      <c r="A147" s="3" t="s">
        <v>137</v>
      </c>
      <c r="B147" s="5">
        <f>1167.31</f>
        <v>1167.31</v>
      </c>
      <c r="C147" s="5">
        <f>71.27</f>
        <v>71.27</v>
      </c>
      <c r="D147" s="5">
        <f>482.34</f>
        <v>482.34</v>
      </c>
      <c r="E147" s="5">
        <f t="shared" si="30"/>
        <v>1720.9199999999998</v>
      </c>
      <c r="F147" s="15">
        <f t="shared" si="33"/>
        <v>-0.58679356811815209</v>
      </c>
      <c r="G147" s="5">
        <f t="shared" si="34"/>
        <v>573.64</v>
      </c>
      <c r="H147" s="5">
        <f>D147</f>
        <v>482.34</v>
      </c>
      <c r="I147" s="5">
        <v>0</v>
      </c>
      <c r="J147" s="5">
        <v>0</v>
      </c>
      <c r="K147" s="5">
        <v>0</v>
      </c>
      <c r="L147" s="29">
        <v>0</v>
      </c>
    </row>
    <row r="148" spans="1:12" x14ac:dyDescent="0.35">
      <c r="A148" s="3" t="s">
        <v>138</v>
      </c>
      <c r="B148" s="5">
        <f>876.8</f>
        <v>876.8</v>
      </c>
      <c r="C148" s="5">
        <f>20</f>
        <v>20</v>
      </c>
      <c r="D148" s="4"/>
      <c r="E148" s="5">
        <f t="shared" si="30"/>
        <v>896.8</v>
      </c>
      <c r="F148" s="15">
        <f t="shared" si="33"/>
        <v>0</v>
      </c>
      <c r="G148" s="4">
        <f t="shared" si="34"/>
        <v>298.93333333333334</v>
      </c>
      <c r="H148" s="4">
        <v>0</v>
      </c>
      <c r="I148" s="4">
        <f t="shared" si="38"/>
        <v>0</v>
      </c>
      <c r="J148" s="4">
        <f t="shared" si="35"/>
        <v>0</v>
      </c>
      <c r="K148" s="4">
        <f t="shared" si="29"/>
        <v>0</v>
      </c>
      <c r="L148" s="28">
        <v>0</v>
      </c>
    </row>
    <row r="149" spans="1:12" x14ac:dyDescent="0.35">
      <c r="A149" s="3" t="s">
        <v>139</v>
      </c>
      <c r="B149" s="5">
        <f>136.36</f>
        <v>136.36000000000001</v>
      </c>
      <c r="C149" s="4"/>
      <c r="D149" s="4"/>
      <c r="E149" s="5">
        <f t="shared" si="30"/>
        <v>136.36000000000001</v>
      </c>
      <c r="F149" s="15">
        <f t="shared" si="33"/>
        <v>0</v>
      </c>
      <c r="G149" s="4">
        <f t="shared" si="34"/>
        <v>45.45333333333334</v>
      </c>
      <c r="H149" s="4">
        <f t="shared" si="36"/>
        <v>0</v>
      </c>
      <c r="I149" s="4">
        <f t="shared" si="38"/>
        <v>0</v>
      </c>
      <c r="J149" s="4">
        <f t="shared" si="35"/>
        <v>0</v>
      </c>
      <c r="K149" s="4">
        <f t="shared" si="29"/>
        <v>0</v>
      </c>
      <c r="L149" s="28">
        <v>0</v>
      </c>
    </row>
    <row r="150" spans="1:12" x14ac:dyDescent="0.35">
      <c r="A150" s="3" t="s">
        <v>127</v>
      </c>
      <c r="B150" s="6">
        <f>(((((((((((B136)+(B137))+(B138))+(B139))+(B140))+(B143))+(B144))+(B145))+(B146))+(B147))+(B148))+(B149)</f>
        <v>52970.58</v>
      </c>
      <c r="C150" s="6">
        <f>(((((((((((C136)+(C137))+(C138))+(C139))+(C140))+(C143))+(C144))+(C145))+(C146))+(C147))+(C148))+(C149)</f>
        <v>41042.51999999999</v>
      </c>
      <c r="D150" s="6">
        <f>(((((((((((D136)+(D137))+(D138))+(D139))+(D140))+(D143))+(D144))+(D145))+(D146))+(D147))+(D148))+(D149)</f>
        <v>21851.179999999997</v>
      </c>
      <c r="E150" s="6">
        <f t="shared" si="30"/>
        <v>115864.27999999998</v>
      </c>
      <c r="F150" s="15">
        <f t="shared" si="33"/>
        <v>-0.58748459994208113</v>
      </c>
      <c r="G150" s="6">
        <f t="shared" ref="G150:L150" si="39">(((((((((((G136)+(G137))+(G138))+(G139))+(G140))+(G143))+(G144))+(G145))+(G146))+(G147))+(G148))+(G149)</f>
        <v>30641.13</v>
      </c>
      <c r="H150" s="6">
        <f t="shared" si="39"/>
        <v>10682.306666666344</v>
      </c>
      <c r="I150" s="6">
        <f t="shared" si="39"/>
        <v>4957.5235008064374</v>
      </c>
      <c r="J150" s="6">
        <f t="shared" si="39"/>
        <v>9968.1867504032198</v>
      </c>
      <c r="K150" s="6">
        <f t="shared" si="39"/>
        <v>14978.849999999999</v>
      </c>
      <c r="L150" s="11">
        <f t="shared" si="39"/>
        <v>20150.931727223873</v>
      </c>
    </row>
    <row r="151" spans="1:12" x14ac:dyDescent="0.35">
      <c r="A151" s="3" t="s">
        <v>124</v>
      </c>
      <c r="B151" s="6">
        <f>(((B133)+(B134))+(B135))+(B150)</f>
        <v>53992.03</v>
      </c>
      <c r="C151" s="6">
        <f>(((C133)+(C134))+(C135))+(C150)</f>
        <v>46845.409999999989</v>
      </c>
      <c r="D151" s="6">
        <f>(((D133)+(D134))+(D135))+(D150)</f>
        <v>24402.579999999998</v>
      </c>
      <c r="E151" s="6">
        <f t="shared" si="30"/>
        <v>125240.01999999999</v>
      </c>
      <c r="F151" s="15">
        <f t="shared" si="33"/>
        <v>-0.54803366348699989</v>
      </c>
      <c r="G151" s="6">
        <f t="shared" ref="G151:L151" si="40">(((G133)+(G134))+(G135))+(G150)</f>
        <v>31945.406666666669</v>
      </c>
      <c r="H151" s="6">
        <f t="shared" si="40"/>
        <v>11521.776666666343</v>
      </c>
      <c r="I151" s="6">
        <f t="shared" si="40"/>
        <v>6368.8021401260976</v>
      </c>
      <c r="J151" s="6">
        <f t="shared" si="40"/>
        <v>11381.52607006305</v>
      </c>
      <c r="K151" s="6">
        <f t="shared" si="40"/>
        <v>16394.25</v>
      </c>
      <c r="L151" s="11">
        <f t="shared" si="40"/>
        <v>21564.271046883703</v>
      </c>
    </row>
    <row r="152" spans="1:12" x14ac:dyDescent="0.35">
      <c r="A152" s="3" t="s">
        <v>142</v>
      </c>
      <c r="B152" s="4"/>
      <c r="C152" s="4"/>
      <c r="D152" s="4"/>
      <c r="E152" s="5">
        <f t="shared" si="30"/>
        <v>0</v>
      </c>
      <c r="F152" s="15">
        <f t="shared" si="33"/>
        <v>0</v>
      </c>
      <c r="G152" s="4">
        <f t="shared" si="34"/>
        <v>0</v>
      </c>
      <c r="H152" s="4">
        <f t="shared" si="36"/>
        <v>0</v>
      </c>
      <c r="I152" s="4">
        <f t="shared" si="38"/>
        <v>0</v>
      </c>
      <c r="J152" s="4">
        <f t="shared" si="35"/>
        <v>0</v>
      </c>
      <c r="K152" s="4">
        <f t="shared" si="29"/>
        <v>0</v>
      </c>
      <c r="L152" s="28">
        <f t="shared" si="29"/>
        <v>0</v>
      </c>
    </row>
    <row r="153" spans="1:12" x14ac:dyDescent="0.35">
      <c r="A153" s="3" t="s">
        <v>143</v>
      </c>
      <c r="B153" s="4"/>
      <c r="C153" s="5">
        <f>77.03</f>
        <v>77.03</v>
      </c>
      <c r="D153" s="4"/>
      <c r="E153" s="5">
        <f t="shared" si="30"/>
        <v>77.03</v>
      </c>
      <c r="F153" s="15">
        <f t="shared" si="33"/>
        <v>0</v>
      </c>
      <c r="G153" s="4">
        <f t="shared" si="34"/>
        <v>25.676666666666666</v>
      </c>
      <c r="H153" s="4">
        <f t="shared" si="36"/>
        <v>0</v>
      </c>
      <c r="I153" s="4">
        <f t="shared" si="38"/>
        <v>0</v>
      </c>
      <c r="J153" s="4">
        <f t="shared" si="35"/>
        <v>0</v>
      </c>
      <c r="K153" s="4">
        <f t="shared" si="29"/>
        <v>0</v>
      </c>
      <c r="L153" s="28">
        <v>0</v>
      </c>
    </row>
    <row r="154" spans="1:12" x14ac:dyDescent="0.35">
      <c r="A154" s="3" t="s">
        <v>144</v>
      </c>
      <c r="B154" s="5">
        <f>224.86</f>
        <v>224.86</v>
      </c>
      <c r="C154" s="5">
        <f>46.56</f>
        <v>46.56</v>
      </c>
      <c r="D154" s="4"/>
      <c r="E154" s="5">
        <f t="shared" si="30"/>
        <v>271.42</v>
      </c>
      <c r="F154" s="15">
        <f t="shared" si="33"/>
        <v>0</v>
      </c>
      <c r="G154" s="4">
        <f t="shared" si="34"/>
        <v>90.473333333333343</v>
      </c>
      <c r="H154" s="4">
        <v>0</v>
      </c>
      <c r="I154" s="4">
        <f t="shared" si="38"/>
        <v>0</v>
      </c>
      <c r="J154" s="4">
        <f t="shared" si="35"/>
        <v>0</v>
      </c>
      <c r="K154" s="4">
        <f t="shared" si="29"/>
        <v>0</v>
      </c>
      <c r="L154" s="28">
        <v>0</v>
      </c>
    </row>
    <row r="155" spans="1:12" x14ac:dyDescent="0.35">
      <c r="A155" s="3" t="s">
        <v>142</v>
      </c>
      <c r="B155" s="6">
        <f>((B152)+(B153))+(B154)</f>
        <v>224.86</v>
      </c>
      <c r="C155" s="6">
        <f>((C152)+(C153))+(C154)</f>
        <v>123.59</v>
      </c>
      <c r="D155" s="6">
        <f>((D152)+(D153))+(D154)</f>
        <v>0</v>
      </c>
      <c r="E155" s="6">
        <f t="shared" si="30"/>
        <v>348.45000000000005</v>
      </c>
      <c r="F155" s="15">
        <f t="shared" si="33"/>
        <v>0</v>
      </c>
      <c r="G155" s="6">
        <f t="shared" ref="G155:L155" si="41">((G152)+(G153))+(G154)</f>
        <v>116.15</v>
      </c>
      <c r="H155" s="6">
        <f t="shared" si="41"/>
        <v>0</v>
      </c>
      <c r="I155" s="6">
        <f t="shared" si="41"/>
        <v>0</v>
      </c>
      <c r="J155" s="6">
        <f t="shared" si="41"/>
        <v>0</v>
      </c>
      <c r="K155" s="6">
        <f t="shared" si="41"/>
        <v>0</v>
      </c>
      <c r="L155" s="11">
        <f t="shared" si="41"/>
        <v>0</v>
      </c>
    </row>
    <row r="156" spans="1:12" x14ac:dyDescent="0.35">
      <c r="A156" s="3" t="s">
        <v>146</v>
      </c>
      <c r="B156" s="4"/>
      <c r="C156" s="4"/>
      <c r="D156" s="5">
        <f>131.12</f>
        <v>131.12</v>
      </c>
      <c r="E156" s="5">
        <f t="shared" si="30"/>
        <v>131.12</v>
      </c>
      <c r="F156" s="15">
        <f t="shared" si="33"/>
        <v>0</v>
      </c>
      <c r="G156" s="5">
        <f t="shared" si="34"/>
        <v>43.706666666666671</v>
      </c>
      <c r="H156" s="5">
        <f t="shared" si="36"/>
        <v>0</v>
      </c>
      <c r="I156" s="5">
        <f t="shared" si="38"/>
        <v>131.12</v>
      </c>
      <c r="J156" s="5">
        <f t="shared" si="35"/>
        <v>131.12</v>
      </c>
      <c r="K156" s="5">
        <f t="shared" si="29"/>
        <v>131.12</v>
      </c>
      <c r="L156" s="29">
        <v>0</v>
      </c>
    </row>
    <row r="157" spans="1:12" x14ac:dyDescent="0.35">
      <c r="A157" s="3" t="s">
        <v>53</v>
      </c>
      <c r="B157" s="6">
        <f>(((((((((((((B63)+(B72))+(B76))+(B77))+(B95))+(B101))+(B104))+(B115))+(B119))+(B129))+(B132))+(B151))+(B155))+(B156)</f>
        <v>214287.05</v>
      </c>
      <c r="C157" s="6">
        <f>(((((((((((((C63)+(C72))+(C76))+(C77))+(C95))+(C101))+(C104))+(C115))+(C119))+(C129))+(C132))+(C151))+(C155))+(C156)</f>
        <v>204650.21</v>
      </c>
      <c r="D157" s="6">
        <f>(((((((((((((D63)+(D72))+(D76))+(D77))+(D95))+(D101))+(D104))+(D115))+(D119))+(D129))+(D132))+(D151))+(D155))+(D156)</f>
        <v>147723.34</v>
      </c>
      <c r="E157" s="6">
        <f t="shared" si="30"/>
        <v>566660.6</v>
      </c>
      <c r="F157" s="15">
        <f t="shared" si="33"/>
        <v>-0.31062871041437173</v>
      </c>
      <c r="G157" s="6">
        <f t="shared" ref="G157:L157" si="42">(((((((((((((G63)+(G72))+(G76))+(G77))+(G95))+(G101))+(G104))+(G115))+(G119))+(G129))+(G132))+(G151))+(G155))+(G156)</f>
        <v>142936.32000000001</v>
      </c>
      <c r="H157" s="6">
        <f t="shared" si="42"/>
        <v>88426.686666664114</v>
      </c>
      <c r="I157" s="6">
        <f t="shared" si="42"/>
        <v>51373.997491508475</v>
      </c>
      <c r="J157" s="6">
        <f t="shared" si="42"/>
        <v>72518.553757471411</v>
      </c>
      <c r="K157" s="6">
        <f t="shared" si="42"/>
        <v>94154.09</v>
      </c>
      <c r="L157" s="11">
        <f t="shared" si="42"/>
        <v>103327.71424783372</v>
      </c>
    </row>
    <row r="158" spans="1:12" x14ac:dyDescent="0.35">
      <c r="A158" s="10" t="s">
        <v>148</v>
      </c>
      <c r="B158" s="18">
        <f>(B61)-(B157)</f>
        <v>-48625.880000000005</v>
      </c>
      <c r="C158" s="18">
        <f>(C61)-(C157)</f>
        <v>-53119.450000000012</v>
      </c>
      <c r="D158" s="18">
        <f>(D61)-(D157)</f>
        <v>-32007.130000000019</v>
      </c>
      <c r="E158" s="18">
        <f t="shared" si="30"/>
        <v>-133752.46000000002</v>
      </c>
      <c r="F158" s="19">
        <f t="shared" si="33"/>
        <v>-0.34176759371758381</v>
      </c>
      <c r="G158" s="18">
        <f t="shared" ref="G158:L158" si="43">(G61)-(G157)</f>
        <v>1366.3933333332825</v>
      </c>
      <c r="H158" s="18">
        <f t="shared" si="43"/>
        <v>5931.06666666604</v>
      </c>
      <c r="I158" s="18">
        <f t="shared" si="43"/>
        <v>29455.090319256691</v>
      </c>
      <c r="J158" s="18">
        <f t="shared" si="43"/>
        <v>25754.095147911154</v>
      </c>
      <c r="K158" s="18">
        <f t="shared" si="43"/>
        <v>21562.119999999981</v>
      </c>
      <c r="L158" s="18">
        <f t="shared" si="43"/>
        <v>2208.8075185319176</v>
      </c>
    </row>
    <row r="159" spans="1:12" x14ac:dyDescent="0.35">
      <c r="A159" s="3"/>
      <c r="B159" s="4"/>
      <c r="C159" s="4"/>
      <c r="D159" s="4"/>
      <c r="E159" s="4"/>
    </row>
    <row r="162" spans="1:5" x14ac:dyDescent="0.35">
      <c r="A162" s="49"/>
      <c r="B162" s="50"/>
      <c r="C162" s="50"/>
      <c r="D162" s="50"/>
      <c r="E162" s="50"/>
    </row>
  </sheetData>
  <mergeCells count="4">
    <mergeCell ref="A1:E1"/>
    <mergeCell ref="A2:E2"/>
    <mergeCell ref="A3:E3"/>
    <mergeCell ref="A162:E162"/>
  </mergeCells>
  <pageMargins left="0.7" right="0.7" top="0.75" bottom="0.75" header="0.3" footer="0.3"/>
  <pageSetup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Statement of Activity</vt:lpstr>
      <vt:lpstr>SOA</vt:lpstr>
      <vt:lpstr>SOA Graph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Robin Barr</cp:lastModifiedBy>
  <cp:lastPrinted>2025-11-18T16:32:19Z</cp:lastPrinted>
  <dcterms:created xsi:type="dcterms:W3CDTF">2025-11-18T06:32:56Z</dcterms:created>
  <dcterms:modified xsi:type="dcterms:W3CDTF">2026-02-07T15:21:11Z</dcterms:modified>
</cp:coreProperties>
</file>